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weinstein\Documents\"/>
    </mc:Choice>
  </mc:AlternateContent>
  <bookViews>
    <workbookView showSheetTabs="0" xWindow="0" yWindow="0" windowWidth="2364" windowHeight="0"/>
  </bookViews>
  <sheets>
    <sheet name="Budget Template" sheetId="1" r:id="rId1"/>
  </sheets>
  <externalReferences>
    <externalReference r:id="rId2"/>
    <externalReference r:id="rId3"/>
    <externalReference r:id="rId4"/>
  </externalReferences>
  <definedNames>
    <definedName name="_xlnm.Print_Area" localSheetId="0">'Budget Template'!$B$1:$Q$40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O59" i="1"/>
  <c r="I60" i="1" s="1"/>
  <c r="G60" i="1" l="1"/>
  <c r="N60" i="1"/>
  <c r="F60" i="1"/>
  <c r="M60" i="1"/>
  <c r="E60" i="1"/>
  <c r="L60" i="1"/>
  <c r="D60" i="1"/>
  <c r="K60" i="1"/>
  <c r="J60" i="1"/>
  <c r="C60" i="1"/>
  <c r="D59" i="1"/>
  <c r="E59" i="1"/>
  <c r="F59" i="1"/>
  <c r="G59" i="1"/>
  <c r="H59" i="1"/>
  <c r="I59" i="1"/>
  <c r="J59" i="1"/>
  <c r="K59" i="1"/>
  <c r="L59" i="1"/>
  <c r="M59" i="1"/>
  <c r="N59" i="1"/>
  <c r="C59" i="1"/>
  <c r="O60" i="1" l="1"/>
  <c r="E25" i="1"/>
  <c r="G4" i="1" l="1"/>
  <c r="G6" i="1" s="1"/>
  <c r="E4" i="1"/>
  <c r="F4" i="1"/>
  <c r="F6" i="1" s="1"/>
  <c r="P11" i="1" l="1"/>
  <c r="M10" i="1"/>
  <c r="O11" i="1"/>
  <c r="L10" i="1"/>
  <c r="N11" i="1"/>
  <c r="K10" i="1"/>
  <c r="K11" i="1"/>
  <c r="O10" i="1"/>
  <c r="M11" i="1"/>
  <c r="L11" i="1"/>
  <c r="N10" i="1"/>
  <c r="P25" i="1"/>
  <c r="F25" i="1"/>
  <c r="G25" i="1"/>
  <c r="H25" i="1"/>
  <c r="I25" i="1"/>
  <c r="J25" i="1"/>
  <c r="K25" i="1"/>
  <c r="L25" i="1"/>
  <c r="M25" i="1"/>
  <c r="N25" i="1"/>
  <c r="O25" i="1"/>
  <c r="E3" i="1"/>
  <c r="E6" i="1" l="1"/>
  <c r="Q4" i="1"/>
  <c r="O5" i="1"/>
  <c r="O4" i="1"/>
  <c r="M6" i="1"/>
  <c r="M5" i="1"/>
  <c r="M4" i="1"/>
  <c r="K4" i="1"/>
  <c r="I6" i="1"/>
  <c r="I5" i="1"/>
  <c r="I4" i="1"/>
  <c r="D5" i="1" l="1"/>
  <c r="Q25" i="1" l="1"/>
  <c r="Q26" i="1" l="1"/>
  <c r="Q12" i="1" l="1"/>
  <c r="P31" i="1" l="1"/>
  <c r="I31" i="1"/>
  <c r="M31" i="1"/>
  <c r="L31" i="1"/>
  <c r="F31" i="1"/>
  <c r="N31" i="1"/>
  <c r="J31" i="1"/>
  <c r="K31" i="1"/>
  <c r="O31" i="1"/>
  <c r="E31" i="1"/>
  <c r="Q31" i="1" l="1"/>
  <c r="K58" i="1" l="1"/>
  <c r="J58" i="1" l="1"/>
  <c r="D58" i="1"/>
  <c r="E58" i="1"/>
  <c r="L58" i="1"/>
  <c r="H58" i="1"/>
  <c r="M58" i="1"/>
  <c r="F58" i="1"/>
  <c r="G58" i="1"/>
  <c r="N58" i="1"/>
  <c r="I58" i="1"/>
  <c r="C58" i="1"/>
  <c r="G11" i="1" l="1"/>
  <c r="G10" i="1"/>
  <c r="H11" i="1"/>
  <c r="H10" i="1"/>
  <c r="O58" i="1"/>
  <c r="E10" i="1"/>
  <c r="E11" i="1"/>
  <c r="F10" i="1"/>
  <c r="F11" i="1"/>
  <c r="G13" i="1" l="1"/>
  <c r="G35" i="1" s="1"/>
  <c r="F18" i="1"/>
  <c r="F17" i="1"/>
  <c r="F16" i="1"/>
  <c r="H18" i="1"/>
  <c r="H17" i="1"/>
  <c r="H16" i="1"/>
  <c r="F13" i="1"/>
  <c r="H13" i="1"/>
  <c r="E17" i="1"/>
  <c r="E18" i="1"/>
  <c r="E16" i="1"/>
  <c r="G18" i="1"/>
  <c r="G16" i="1"/>
  <c r="G17" i="1"/>
  <c r="E13" i="1"/>
  <c r="G36" i="1" l="1"/>
  <c r="G37" i="1" s="1"/>
  <c r="G24" i="1"/>
  <c r="G27" i="1" s="1"/>
  <c r="G28" i="1" s="1"/>
  <c r="F19" i="1"/>
  <c r="F20" i="1" s="1"/>
  <c r="G19" i="1"/>
  <c r="G20" i="1" s="1"/>
  <c r="E19" i="1"/>
  <c r="H24" i="1"/>
  <c r="H27" i="1" s="1"/>
  <c r="H28" i="1" s="1"/>
  <c r="H35" i="1"/>
  <c r="H36" i="1"/>
  <c r="F24" i="1"/>
  <c r="F27" i="1" s="1"/>
  <c r="F28" i="1" s="1"/>
  <c r="F34" i="1"/>
  <c r="F35" i="1"/>
  <c r="F36" i="1"/>
  <c r="E24" i="1"/>
  <c r="E34" i="1"/>
  <c r="E36" i="1"/>
  <c r="E35" i="1"/>
  <c r="H19" i="1"/>
  <c r="H20" i="1" s="1"/>
  <c r="G38" i="1" l="1"/>
  <c r="F37" i="1"/>
  <c r="F38" i="1" s="1"/>
  <c r="G39" i="1"/>
  <c r="G40" i="1" s="1"/>
  <c r="E37" i="1"/>
  <c r="E27" i="1"/>
  <c r="H37" i="1"/>
  <c r="H38" i="1" s="1"/>
  <c r="E20" i="1"/>
  <c r="F39" i="1" l="1"/>
  <c r="F40" i="1" s="1"/>
  <c r="E28" i="1"/>
  <c r="H39" i="1"/>
  <c r="H40" i="1" s="1"/>
  <c r="E39" i="1" l="1"/>
  <c r="E40" i="1" s="1"/>
  <c r="E38" i="1"/>
  <c r="P10" i="1" l="1"/>
  <c r="J10" i="1"/>
  <c r="L13" i="1"/>
  <c r="P18" i="1"/>
  <c r="P16" i="1"/>
  <c r="O17" i="1"/>
  <c r="I11" i="1"/>
  <c r="I16" i="1" s="1"/>
  <c r="N13" i="1"/>
  <c r="N18" i="1"/>
  <c r="L17" i="1"/>
  <c r="L18" i="1"/>
  <c r="K18" i="1"/>
  <c r="J11" i="1"/>
  <c r="J18" i="1" s="1"/>
  <c r="M17" i="1"/>
  <c r="I10" i="1"/>
  <c r="I13" i="1" l="1"/>
  <c r="I34" i="1" s="1"/>
  <c r="J17" i="1"/>
  <c r="J13" i="1"/>
  <c r="J35" i="1" s="1"/>
  <c r="N16" i="1"/>
  <c r="M13" i="1"/>
  <c r="M34" i="1" s="1"/>
  <c r="M18" i="1"/>
  <c r="N17" i="1"/>
  <c r="K17" i="1"/>
  <c r="O18" i="1"/>
  <c r="Q10" i="1"/>
  <c r="P13" i="1"/>
  <c r="P24" i="1" s="1"/>
  <c r="L36" i="1"/>
  <c r="L35" i="1"/>
  <c r="L24" i="1"/>
  <c r="L34" i="1"/>
  <c r="N24" i="1"/>
  <c r="N34" i="1"/>
  <c r="N35" i="1"/>
  <c r="N36" i="1"/>
  <c r="Q11" i="1"/>
  <c r="L16" i="1"/>
  <c r="L19" i="1" s="1"/>
  <c r="L20" i="1" s="1"/>
  <c r="I18" i="1"/>
  <c r="M16" i="1"/>
  <c r="P17" i="1"/>
  <c r="P19" i="1" s="1"/>
  <c r="O16" i="1"/>
  <c r="K16" i="1"/>
  <c r="O13" i="1"/>
  <c r="K13" i="1"/>
  <c r="J16" i="1"/>
  <c r="I17" i="1"/>
  <c r="I35" i="1" l="1"/>
  <c r="I36" i="1"/>
  <c r="I37" i="1" s="1"/>
  <c r="I24" i="1"/>
  <c r="M35" i="1"/>
  <c r="M36" i="1"/>
  <c r="J19" i="1"/>
  <c r="J20" i="1" s="1"/>
  <c r="J36" i="1"/>
  <c r="J24" i="1"/>
  <c r="J27" i="1" s="1"/>
  <c r="J28" i="1" s="1"/>
  <c r="J34" i="1"/>
  <c r="P20" i="1"/>
  <c r="O19" i="1"/>
  <c r="O20" i="1" s="1"/>
  <c r="M24" i="1"/>
  <c r="M37" i="1"/>
  <c r="Q13" i="1"/>
  <c r="D7" i="1" s="1"/>
  <c r="E7" i="1" s="1"/>
  <c r="M19" i="1"/>
  <c r="M20" i="1" s="1"/>
  <c r="P34" i="1"/>
  <c r="Q18" i="1"/>
  <c r="P36" i="1"/>
  <c r="P35" i="1"/>
  <c r="K19" i="1"/>
  <c r="K20" i="1" s="1"/>
  <c r="N19" i="1"/>
  <c r="N20" i="1" s="1"/>
  <c r="N37" i="1"/>
  <c r="N27" i="1"/>
  <c r="N28" i="1" s="1"/>
  <c r="M27" i="1"/>
  <c r="M28" i="1" s="1"/>
  <c r="Q17" i="1"/>
  <c r="K35" i="1"/>
  <c r="K36" i="1"/>
  <c r="K34" i="1"/>
  <c r="K24" i="1"/>
  <c r="O36" i="1"/>
  <c r="O24" i="1"/>
  <c r="O34" i="1"/>
  <c r="O35" i="1"/>
  <c r="Q16" i="1"/>
  <c r="L37" i="1"/>
  <c r="I27" i="1"/>
  <c r="I28" i="1" s="1"/>
  <c r="P27" i="1"/>
  <c r="P28" i="1" s="1"/>
  <c r="I19" i="1"/>
  <c r="L27" i="1"/>
  <c r="L28" i="1" s="1"/>
  <c r="J37" i="1" l="1"/>
  <c r="J39" i="1" s="1"/>
  <c r="J40" i="1" s="1"/>
  <c r="L39" i="1"/>
  <c r="L40" i="1" s="1"/>
  <c r="I38" i="1"/>
  <c r="K37" i="1"/>
  <c r="N39" i="1"/>
  <c r="N40" i="1" s="1"/>
  <c r="Q36" i="1"/>
  <c r="P37" i="1"/>
  <c r="P39" i="1" s="1"/>
  <c r="P40" i="1" s="1"/>
  <c r="Q35" i="1"/>
  <c r="Q34" i="1"/>
  <c r="M39" i="1"/>
  <c r="M40" i="1" s="1"/>
  <c r="M38" i="1"/>
  <c r="K27" i="1"/>
  <c r="K28" i="1" s="1"/>
  <c r="N38" i="1"/>
  <c r="Q19" i="1"/>
  <c r="I20" i="1"/>
  <c r="L38" i="1"/>
  <c r="O37" i="1"/>
  <c r="O27" i="1"/>
  <c r="O28" i="1" s="1"/>
  <c r="Q24" i="1"/>
  <c r="J38" i="1" l="1"/>
  <c r="P38" i="1"/>
  <c r="Q37" i="1"/>
  <c r="Q27" i="1"/>
  <c r="O38" i="1"/>
  <c r="Q28" i="1"/>
  <c r="K38" i="1"/>
  <c r="K39" i="1"/>
  <c r="K40" i="1" s="1"/>
  <c r="O39" i="1"/>
  <c r="O40" i="1" s="1"/>
  <c r="Q20" i="1"/>
  <c r="I39" i="1"/>
  <c r="I40" i="1" s="1"/>
  <c r="Q39" i="1" l="1"/>
  <c r="Q40" i="1" s="1"/>
  <c r="O6" i="1" s="1"/>
</calcChain>
</file>

<file path=xl/sharedStrings.xml><?xml version="1.0" encoding="utf-8"?>
<sst xmlns="http://schemas.openxmlformats.org/spreadsheetml/2006/main" count="87" uniqueCount="68">
  <si>
    <t>INPUTS</t>
  </si>
  <si>
    <t>Optical Cost of Goods</t>
  </si>
  <si>
    <t>Frames</t>
  </si>
  <si>
    <t>Contact Lenses</t>
  </si>
  <si>
    <t>Clinic Revenue</t>
  </si>
  <si>
    <t>Optical Revenue</t>
  </si>
  <si>
    <t>Revenue</t>
  </si>
  <si>
    <t>Expenses</t>
  </si>
  <si>
    <t>Cost of Goods</t>
  </si>
  <si>
    <t>Clinic</t>
  </si>
  <si>
    <t>Optical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</si>
  <si>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</si>
  <si>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</si>
  <si>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</si>
  <si>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</si>
  <si>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</si>
  <si>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</si>
  <si>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</si>
  <si>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</si>
  <si>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</si>
  <si>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</si>
  <si>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</si>
  <si>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</si>
  <si>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</si>
  <si>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</si>
  <si>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</t>
  </si>
  <si>
    <t>Gross Profit</t>
  </si>
  <si>
    <t>Staffing</t>
  </si>
  <si>
    <t>Support Staff</t>
  </si>
  <si>
    <t>Staffing Costs</t>
  </si>
  <si>
    <t>Marketing</t>
  </si>
  <si>
    <t>Occupancy</t>
  </si>
  <si>
    <t>Laboratory</t>
  </si>
  <si>
    <t>Total COG's</t>
  </si>
  <si>
    <t>Total Staffing</t>
  </si>
  <si>
    <t>General Overhead</t>
  </si>
  <si>
    <t>Equipment</t>
  </si>
  <si>
    <t>Rent/Lease</t>
  </si>
  <si>
    <t>ADV &amp; Marketing</t>
  </si>
  <si>
    <t>Other Expense</t>
  </si>
  <si>
    <t>Total Occupancy</t>
  </si>
  <si>
    <t xml:space="preserve">Total General </t>
  </si>
  <si>
    <t>Net Profit</t>
  </si>
  <si>
    <t>Non Owner Doctor</t>
  </si>
  <si>
    <t>Net Profit Rate</t>
  </si>
  <si>
    <t>Notes:</t>
  </si>
  <si>
    <t>Seasonal Weight</t>
  </si>
  <si>
    <t xml:space="preserve">If you have other income and non doctor owner salary andother salary expense please manually enter in open cells </t>
  </si>
  <si>
    <t>Other Staffing Costs</t>
  </si>
  <si>
    <t>Staffing Taxes and Benefits</t>
  </si>
  <si>
    <t xml:space="preserve"> Owner Doctor</t>
  </si>
  <si>
    <t>Calculated Rate of Growth</t>
  </si>
  <si>
    <t>2019 Actual Cash Revenue</t>
  </si>
  <si>
    <t>Monthly revenue includes weighted for seasonality</t>
  </si>
  <si>
    <t>AECActual 2019 Seasonality</t>
  </si>
  <si>
    <t>2020 COVID-19 Impact</t>
  </si>
  <si>
    <t>March - April</t>
  </si>
  <si>
    <t xml:space="preserve">This budget model inputs are in white, prior year revenue and your next years budget objective. </t>
  </si>
  <si>
    <t>After entering those items the entire year budget will populate.</t>
  </si>
  <si>
    <t>Budget Decrease</t>
  </si>
  <si>
    <t>Column1</t>
  </si>
  <si>
    <t>2020 Cash Budget</t>
  </si>
  <si>
    <t>New 2020 Budget - COVID-19 Impact</t>
  </si>
  <si>
    <t>May - June</t>
  </si>
  <si>
    <t>2021 COVID-19 Impact</t>
  </si>
  <si>
    <t>July - December</t>
  </si>
  <si>
    <t>Ratios</t>
  </si>
  <si>
    <t>2020 COVID-19 Budget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</si>
</sst>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2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2" fontId="5" fillId="0" borderId="1" xfId="0" applyNumberFormat="1" applyFont="1" applyBorder="1" applyAlignment="1">
      <alignment horizontal="center"/>
    </xf>
    <xf numFmtId="42" fontId="0" fillId="4" borderId="1" xfId="0" applyNumberFormat="1" applyFill="1" applyBorder="1" applyAlignment="1">
      <alignment horizontal="center"/>
    </xf>
    <xf numFmtId="42" fontId="0" fillId="4" borderId="4" xfId="0" applyNumberFormat="1" applyFill="1" applyBorder="1" applyAlignment="1">
      <alignment horizontal="center"/>
    </xf>
    <xf numFmtId="42" fontId="0" fillId="4" borderId="3" xfId="0" applyNumberFormat="1" applyFill="1" applyBorder="1" applyAlignment="1">
      <alignment horizontal="center"/>
    </xf>
    <xf numFmtId="42" fontId="0" fillId="4" borderId="1" xfId="0" applyNumberFormat="1" applyFill="1" applyBorder="1"/>
    <xf numFmtId="42" fontId="0" fillId="4" borderId="2" xfId="0" applyNumberFormat="1" applyFill="1" applyBorder="1"/>
    <xf numFmtId="42" fontId="0" fillId="3" borderId="2" xfId="0" applyNumberFormat="1" applyFill="1" applyBorder="1" applyAlignment="1">
      <alignment horizontal="center"/>
    </xf>
    <xf numFmtId="42" fontId="0" fillId="0" borderId="2" xfId="0" applyNumberFormat="1" applyBorder="1" applyAlignment="1" applyProtection="1">
      <alignment horizontal="center"/>
      <protection locked="0"/>
    </xf>
    <xf numFmtId="42" fontId="0" fillId="0" borderId="1" xfId="0" applyNumberFormat="1" applyBorder="1" applyAlignment="1" applyProtection="1">
      <alignment horizontal="center"/>
      <protection locked="0"/>
    </xf>
    <xf numFmtId="42" fontId="0" fillId="4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42" fontId="0" fillId="4" borderId="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right"/>
    </xf>
    <xf numFmtId="0" fontId="4" fillId="2" borderId="10" xfId="0" applyFont="1" applyFill="1" applyBorder="1"/>
    <xf numFmtId="0" fontId="0" fillId="2" borderId="10" xfId="0" applyFill="1" applyBorder="1" applyAlignment="1">
      <alignment horizontal="right"/>
    </xf>
    <xf numFmtId="0" fontId="0" fillId="2" borderId="10" xfId="0" applyFill="1" applyBorder="1"/>
    <xf numFmtId="0" fontId="6" fillId="2" borderId="10" xfId="0" applyFont="1" applyFill="1" applyBorder="1" applyAlignment="1">
      <alignment horizontal="right" wrapText="1"/>
    </xf>
    <xf numFmtId="0" fontId="0" fillId="2" borderId="11" xfId="0" applyFill="1" applyBorder="1"/>
    <xf numFmtId="0" fontId="0" fillId="2" borderId="12" xfId="0" applyFill="1" applyBorder="1" applyAlignment="1">
      <alignment horizontal="right"/>
    </xf>
    <xf numFmtId="0" fontId="0" fillId="2" borderId="13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2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2" fontId="0" fillId="4" borderId="13" xfId="0" applyNumberForma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42" fontId="0" fillId="3" borderId="0" xfId="0" applyNumberFormat="1" applyFill="1" applyBorder="1" applyAlignment="1">
      <alignment horizontal="center"/>
    </xf>
    <xf numFmtId="42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2" fontId="0" fillId="4" borderId="17" xfId="0" applyNumberFormat="1" applyFill="1" applyBorder="1" applyAlignment="1">
      <alignment horizontal="center"/>
    </xf>
    <xf numFmtId="42" fontId="0" fillId="3" borderId="0" xfId="0" applyNumberFormat="1" applyFill="1" applyBorder="1"/>
    <xf numFmtId="0" fontId="1" fillId="5" borderId="12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42" fontId="2" fillId="5" borderId="0" xfId="0" applyNumberFormat="1" applyFont="1" applyFill="1" applyBorder="1"/>
    <xf numFmtId="0" fontId="0" fillId="4" borderId="14" xfId="0" applyFill="1" applyBorder="1" applyAlignment="1">
      <alignment horizontal="right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right"/>
    </xf>
    <xf numFmtId="10" fontId="0" fillId="4" borderId="15" xfId="0" applyNumberFormat="1" applyFill="1" applyBorder="1"/>
    <xf numFmtId="10" fontId="0" fillId="4" borderId="16" xfId="0" applyNumberFormat="1" applyFill="1" applyBorder="1"/>
    <xf numFmtId="42" fontId="0" fillId="4" borderId="0" xfId="0" applyNumberFormat="1" applyFill="1" applyBorder="1"/>
    <xf numFmtId="0" fontId="7" fillId="2" borderId="7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0" xfId="0" applyFont="1" applyFill="1" applyBorder="1"/>
    <xf numFmtId="0" fontId="7" fillId="0" borderId="0" xfId="0" applyFont="1"/>
    <xf numFmtId="0" fontId="9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9" fontId="0" fillId="0" borderId="0" xfId="0" applyNumberFormat="1"/>
    <xf numFmtId="0" fontId="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42" fontId="16" fillId="2" borderId="0" xfId="0" applyNumberFormat="1" applyFont="1" applyFill="1" applyBorder="1"/>
    <xf numFmtId="0" fontId="16" fillId="2" borderId="0" xfId="0" applyFont="1" applyFill="1" applyBorder="1"/>
    <xf numFmtId="0" fontId="9" fillId="2" borderId="9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 wrapText="1"/>
    </xf>
    <xf numFmtId="164" fontId="7" fillId="2" borderId="1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 wrapText="1"/>
    </xf>
    <xf numFmtId="0" fontId="7" fillId="2" borderId="13" xfId="0" applyFont="1" applyFill="1" applyBorder="1"/>
    <xf numFmtId="0" fontId="9" fillId="2" borderId="14" xfId="0" applyFont="1" applyFill="1" applyBorder="1" applyAlignment="1">
      <alignment horizontal="center" wrapText="1"/>
    </xf>
    <xf numFmtId="164" fontId="7" fillId="2" borderId="15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/>
    <xf numFmtId="0" fontId="7" fillId="2" borderId="15" xfId="0" applyFont="1" applyFill="1" applyBorder="1"/>
    <xf numFmtId="0" fontId="7" fillId="2" borderId="16" xfId="0" applyFont="1" applyFill="1" applyBorder="1"/>
    <xf numFmtId="42" fontId="7" fillId="2" borderId="4" xfId="0" applyNumberFormat="1" applyFont="1" applyFill="1" applyBorder="1"/>
    <xf numFmtId="10" fontId="11" fillId="0" borderId="20" xfId="0" applyNumberFormat="1" applyFont="1" applyFill="1" applyBorder="1" applyProtection="1">
      <protection locked="0"/>
    </xf>
    <xf numFmtId="42" fontId="7" fillId="2" borderId="21" xfId="0" applyNumberFormat="1" applyFont="1" applyFill="1" applyBorder="1"/>
    <xf numFmtId="42" fontId="8" fillId="0" borderId="18" xfId="0" applyNumberFormat="1" applyFont="1" applyBorder="1" applyProtection="1">
      <protection locked="0"/>
    </xf>
    <xf numFmtId="10" fontId="9" fillId="2" borderId="19" xfId="0" applyNumberFormat="1" applyFont="1" applyFill="1" applyBorder="1" applyProtection="1"/>
    <xf numFmtId="42" fontId="12" fillId="0" borderId="22" xfId="0" applyNumberFormat="1" applyFont="1" applyBorder="1" applyProtection="1">
      <protection locked="0"/>
    </xf>
    <xf numFmtId="42" fontId="9" fillId="2" borderId="23" xfId="0" applyNumberFormat="1" applyFont="1" applyFill="1" applyBorder="1" applyAlignment="1">
      <alignment horizontal="right"/>
    </xf>
    <xf numFmtId="10" fontId="16" fillId="2" borderId="24" xfId="0" applyNumberFormat="1" applyFont="1" applyFill="1" applyBorder="1"/>
    <xf numFmtId="2" fontId="0" fillId="0" borderId="0" xfId="0" applyNumberFormat="1"/>
    <xf numFmtId="0" fontId="14" fillId="2" borderId="15" xfId="0" applyFont="1" applyFill="1" applyBorder="1" applyAlignment="1">
      <alignment horizontal="center"/>
    </xf>
  </cellXfs>
  <cellStyles count="1">
    <cellStyle name="Normal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f35f0eba5fe6d80/Steve-Practice%20Management/SteveSunder/Dr.%20Dixon/Budget/AEC%20Practice%20Budg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f35f0eba5fe6d80/Steve-Practice%20Management/SteveSunder/Dr.%20Dixon/Budget/AEC%202020%20Budget_COVID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f35f0eba5fe6d80/Steve-Practice%20Management/SteveSunder/Dr.%20Dixon/Profit%20and%20Loss/FY%202019/Dr.%20Dixon%20FY%202019%20P%5e0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"/>
    </sheetNames>
    <sheetDataSet>
      <sheetData sheetId="0">
        <row r="4">
          <cell r="D4">
            <v>2124141.63</v>
          </cell>
          <cell r="G4">
            <v>0.51</v>
          </cell>
          <cell r="I4">
            <v>0.24</v>
          </cell>
          <cell r="K4">
            <v>0.14000000000000001</v>
          </cell>
          <cell r="M4">
            <v>0.05</v>
          </cell>
          <cell r="O4">
            <v>0.06</v>
          </cell>
        </row>
        <row r="5">
          <cell r="G5">
            <v>0.49</v>
          </cell>
          <cell r="K5">
            <v>0.24</v>
          </cell>
          <cell r="M5">
            <v>5.0000000000000001E-3</v>
          </cell>
        </row>
        <row r="6">
          <cell r="G6">
            <v>0.3</v>
          </cell>
          <cell r="K6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 2020 Budget"/>
      <sheetName val="Budget Example"/>
      <sheetName val="Seasonality"/>
      <sheetName val="2016 "/>
    </sheetNames>
    <sheetDataSet>
      <sheetData sheetId="0"/>
      <sheetData sheetId="1"/>
      <sheetData sheetId="2">
        <row r="5">
          <cell r="C5">
            <v>0.88241308090176651</v>
          </cell>
          <cell r="D5">
            <v>0.96092326950910512</v>
          </cell>
          <cell r="E5">
            <v>1.0650207914808394</v>
          </cell>
          <cell r="F5">
            <v>0.99590969364881754</v>
          </cell>
          <cell r="G5">
            <v>1.0702951290493752</v>
          </cell>
          <cell r="H5">
            <v>1.058935660519021</v>
          </cell>
          <cell r="I5">
            <v>1.0584358068440098</v>
          </cell>
          <cell r="J5">
            <v>1.0920148672007337</v>
          </cell>
          <cell r="K5">
            <v>0.82608316470874876</v>
          </cell>
          <cell r="L5">
            <v>1.1548939512098355</v>
          </cell>
          <cell r="M5">
            <v>0.82531389397043164</v>
          </cell>
          <cell r="N5">
            <v>1.0097606909573162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and Loss"/>
    </sheetNames>
    <sheetDataSet>
      <sheetData sheetId="0">
        <row r="11">
          <cell r="B11">
            <v>156197.53</v>
          </cell>
          <cell r="C11">
            <v>170094.75999999998</v>
          </cell>
          <cell r="D11">
            <v>188521.25</v>
          </cell>
          <cell r="E11">
            <v>176287.77</v>
          </cell>
          <cell r="F11">
            <v>189454.87</v>
          </cell>
          <cell r="G11">
            <v>187444.11</v>
          </cell>
          <cell r="H11">
            <v>187355.63</v>
          </cell>
          <cell r="I11">
            <v>193299.52</v>
          </cell>
          <cell r="J11">
            <v>146226.47</v>
          </cell>
          <cell r="K11">
            <v>204429.86000000002</v>
          </cell>
          <cell r="L11">
            <v>146090.29999999999</v>
          </cell>
          <cell r="M11">
            <v>178739.56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X2:X98" totalsRowShown="0" headerRowDxfId="1">
  <autoFilter ref="X2:X98"/>
  <tableColumns count="1">
    <tableColumn id="1" name="C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showGridLines="0" tabSelected="1" zoomScale="85" zoomScaleNormal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4" sqref="D4"/>
    </sheetView>
  </sheetViews>
  <sheetFormatPr defaultColWidth="0" defaultRowHeight="14.4" zeroHeight="1" x14ac:dyDescent="0.3"/>
  <cols>
    <col min="1" max="1" width="3.44140625" style="1" customWidth="1"/>
    <col min="2" max="2" width="14.44140625" style="1" customWidth="1"/>
    <col min="3" max="3" width="15" customWidth="1"/>
    <col min="4" max="4" width="11" style="1" customWidth="1"/>
    <col min="5" max="5" width="11.21875" customWidth="1"/>
    <col min="6" max="6" width="12.21875" customWidth="1"/>
    <col min="7" max="7" width="12.5546875" customWidth="1"/>
    <col min="8" max="8" width="13.109375" customWidth="1"/>
    <col min="9" max="9" width="11.6640625" customWidth="1"/>
    <col min="10" max="10" width="10.6640625" customWidth="1"/>
    <col min="11" max="11" width="11.6640625" customWidth="1"/>
    <col min="12" max="12" width="10.44140625" customWidth="1"/>
    <col min="13" max="13" width="11.6640625" customWidth="1"/>
    <col min="14" max="14" width="10.33203125" customWidth="1"/>
    <col min="15" max="15" width="11.6640625" customWidth="1"/>
    <col min="16" max="16" width="10.88671875" customWidth="1"/>
    <col min="17" max="17" width="13.6640625" customWidth="1"/>
    <col min="18" max="18" width="10.44140625" hidden="1" customWidth="1"/>
    <col min="19" max="19" width="11.88671875" hidden="1" customWidth="1"/>
    <col min="20" max="22" width="8.77734375" hidden="1" customWidth="1"/>
    <col min="23" max="23" width="15.6640625" hidden="1" customWidth="1"/>
    <col min="24" max="24" width="10.21875" hidden="1" customWidth="1"/>
    <col min="25" max="28" width="0" hidden="1" customWidth="1"/>
    <col min="29" max="16384" width="8.77734375" hidden="1"/>
  </cols>
  <sheetData>
    <row r="1" spans="1:28" ht="15" thickTop="1" x14ac:dyDescent="0.3">
      <c r="A1" s="18"/>
      <c r="B1" s="25"/>
      <c r="C1" s="26" t="s">
        <v>67</v>
      </c>
      <c r="D1" s="27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30"/>
    </row>
    <row r="2" spans="1:28" ht="13.05" customHeight="1" x14ac:dyDescent="0.3">
      <c r="A2" s="19"/>
      <c r="B2" s="31"/>
      <c r="C2" s="60"/>
      <c r="D2" s="65"/>
      <c r="E2" s="63" t="s">
        <v>56</v>
      </c>
      <c r="F2" s="63" t="s">
        <v>63</v>
      </c>
      <c r="G2" s="63" t="s">
        <v>65</v>
      </c>
      <c r="H2" s="60"/>
      <c r="I2" s="60"/>
      <c r="J2" s="60"/>
      <c r="K2" s="60"/>
      <c r="L2" s="60"/>
      <c r="M2" s="60"/>
      <c r="N2" s="60"/>
      <c r="O2" s="60"/>
      <c r="P2" s="60"/>
      <c r="Q2" s="32"/>
      <c r="W2" t="s">
        <v>59</v>
      </c>
      <c r="X2" s="64" t="s">
        <v>60</v>
      </c>
      <c r="Z2" s="64">
        <v>-1</v>
      </c>
    </row>
    <row r="3" spans="1:28" ht="26.55" customHeight="1" thickBot="1" x14ac:dyDescent="0.35">
      <c r="A3" s="19"/>
      <c r="B3" s="31"/>
      <c r="C3" s="65"/>
      <c r="D3" s="66" t="s">
        <v>0</v>
      </c>
      <c r="E3" s="67" t="str">
        <f>F3</f>
        <v>2020 COVID-19 Impact</v>
      </c>
      <c r="F3" s="67" t="s">
        <v>55</v>
      </c>
      <c r="G3" s="67" t="s">
        <v>64</v>
      </c>
      <c r="H3" s="97" t="s">
        <v>66</v>
      </c>
      <c r="I3" s="97"/>
      <c r="J3" s="97"/>
      <c r="K3" s="97"/>
      <c r="L3" s="97"/>
      <c r="M3" s="97"/>
      <c r="N3" s="97"/>
      <c r="O3" s="97"/>
      <c r="P3" s="97"/>
      <c r="Q3" s="97"/>
      <c r="X3" s="64">
        <v>-0.05</v>
      </c>
      <c r="Z3" s="64">
        <v>-0.99</v>
      </c>
      <c r="AB3" s="64"/>
    </row>
    <row r="4" spans="1:28" s="61" customFormat="1" ht="24.45" customHeight="1" thickBot="1" x14ac:dyDescent="0.35">
      <c r="A4" s="58"/>
      <c r="B4" s="59"/>
      <c r="C4" s="65" t="s">
        <v>52</v>
      </c>
      <c r="D4" s="91">
        <v>1000000</v>
      </c>
      <c r="E4" s="90">
        <f>D6</f>
        <v>1200000</v>
      </c>
      <c r="F4" s="88">
        <f>D6</f>
        <v>1200000</v>
      </c>
      <c r="G4" s="88">
        <f>D6</f>
        <v>1200000</v>
      </c>
      <c r="H4" s="72" t="s">
        <v>4</v>
      </c>
      <c r="I4" s="73">
        <f>'[1]Budget Template'!$G$4</f>
        <v>0.51</v>
      </c>
      <c r="J4" s="74" t="s">
        <v>29</v>
      </c>
      <c r="K4" s="73">
        <f>'[1]Budget Template'!I4</f>
        <v>0.24</v>
      </c>
      <c r="L4" s="74" t="s">
        <v>2</v>
      </c>
      <c r="M4" s="73">
        <f>'[1]Budget Template'!$K$4</f>
        <v>0.14000000000000001</v>
      </c>
      <c r="N4" s="75" t="s">
        <v>35</v>
      </c>
      <c r="O4" s="73">
        <f>'[1]Budget Template'!$M$4</f>
        <v>0.05</v>
      </c>
      <c r="P4" s="76" t="s">
        <v>49</v>
      </c>
      <c r="Q4" s="77">
        <f>'[1]Budget Template'!$O$4</f>
        <v>0.06</v>
      </c>
      <c r="R4"/>
      <c r="X4" s="64">
        <v>-0.06</v>
      </c>
      <c r="Z4" s="64">
        <v>-0.98</v>
      </c>
    </row>
    <row r="5" spans="1:28" s="61" customFormat="1" ht="16.5" customHeight="1" thickTop="1" thickBot="1" x14ac:dyDescent="0.35">
      <c r="A5" s="58"/>
      <c r="B5" s="59"/>
      <c r="C5" s="69" t="s">
        <v>51</v>
      </c>
      <c r="D5" s="92">
        <f>1-(D4/D6)</f>
        <v>0.16666666666666663</v>
      </c>
      <c r="E5" s="89">
        <v>-0.98</v>
      </c>
      <c r="F5" s="89">
        <v>-0.4</v>
      </c>
      <c r="G5" s="89">
        <v>-0.1</v>
      </c>
      <c r="H5" s="78" t="s">
        <v>5</v>
      </c>
      <c r="I5" s="68">
        <f>'[1]Budget Template'!$G$5</f>
        <v>0.49</v>
      </c>
      <c r="J5" s="78" t="s">
        <v>30</v>
      </c>
      <c r="K5" s="68">
        <v>0.04</v>
      </c>
      <c r="L5" s="78" t="s">
        <v>32</v>
      </c>
      <c r="M5" s="68">
        <f>'[1]Budget Template'!$K$5</f>
        <v>0.24</v>
      </c>
      <c r="N5" s="79" t="s">
        <v>36</v>
      </c>
      <c r="O5" s="68">
        <f>'[1]Budget Template'!$M$5</f>
        <v>5.0000000000000001E-3</v>
      </c>
      <c r="P5" s="80"/>
      <c r="Q5" s="81"/>
      <c r="R5"/>
      <c r="X5" s="64">
        <v>-7.0000000000000007E-2</v>
      </c>
      <c r="Z5" s="64">
        <v>-0.97</v>
      </c>
    </row>
    <row r="6" spans="1:28" s="61" customFormat="1" ht="16.5" customHeight="1" thickTop="1" thickBot="1" x14ac:dyDescent="0.35">
      <c r="A6" s="58"/>
      <c r="B6" s="59"/>
      <c r="C6" s="62" t="s">
        <v>61</v>
      </c>
      <c r="D6" s="93">
        <v>1200000</v>
      </c>
      <c r="E6" s="70">
        <f>(E4*E5)+E4</f>
        <v>24000</v>
      </c>
      <c r="F6" s="70">
        <f>(F4*F5)+F4</f>
        <v>720000</v>
      </c>
      <c r="G6" s="70">
        <f>(G4*G5)+G4</f>
        <v>1080000</v>
      </c>
      <c r="H6" s="82" t="s">
        <v>1</v>
      </c>
      <c r="I6" s="83">
        <f>'[1]Budget Template'!$G$6</f>
        <v>0.3</v>
      </c>
      <c r="J6" s="84" t="s">
        <v>31</v>
      </c>
      <c r="K6" s="83">
        <v>0.08</v>
      </c>
      <c r="L6" s="84" t="s">
        <v>3</v>
      </c>
      <c r="M6" s="83">
        <f>'[1]Budget Template'!$K$6</f>
        <v>0.2</v>
      </c>
      <c r="N6" s="85" t="s">
        <v>44</v>
      </c>
      <c r="O6" s="83">
        <f>Q40</f>
        <v>0.13933116884439747</v>
      </c>
      <c r="P6" s="86"/>
      <c r="Q6" s="87"/>
      <c r="R6"/>
      <c r="X6" s="64">
        <v>-0.08</v>
      </c>
      <c r="Z6" s="64">
        <v>-0.96</v>
      </c>
    </row>
    <row r="7" spans="1:28" ht="16.5" customHeight="1" x14ac:dyDescent="0.3">
      <c r="A7" s="19"/>
      <c r="B7" s="31"/>
      <c r="C7" s="69" t="s">
        <v>62</v>
      </c>
      <c r="D7" s="94">
        <f>Q13</f>
        <v>837745.21855400014</v>
      </c>
      <c r="E7" s="95">
        <f>1-(D6/D7)</f>
        <v>-0.4324164118432976</v>
      </c>
      <c r="F7" s="71"/>
      <c r="G7" s="71"/>
      <c r="H7" s="60"/>
      <c r="I7" s="68"/>
      <c r="J7" s="60"/>
      <c r="K7" s="60"/>
      <c r="L7" s="60"/>
      <c r="M7" s="60"/>
      <c r="N7" s="60"/>
      <c r="O7" s="60"/>
      <c r="P7" s="60"/>
      <c r="Q7" s="32"/>
      <c r="X7" s="64">
        <v>-0.09</v>
      </c>
      <c r="Z7" s="64">
        <v>-0.95</v>
      </c>
    </row>
    <row r="8" spans="1:28" ht="6.6" customHeight="1" x14ac:dyDescent="0.3">
      <c r="A8" s="21"/>
      <c r="B8" s="35"/>
      <c r="C8" s="3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X8" s="64">
        <v>-0.1</v>
      </c>
      <c r="Z8" s="64">
        <v>-0.94</v>
      </c>
    </row>
    <row r="9" spans="1:28" x14ac:dyDescent="0.3">
      <c r="A9" s="21"/>
      <c r="B9" s="37" t="s">
        <v>6</v>
      </c>
      <c r="C9" s="33"/>
      <c r="D9" s="33"/>
      <c r="E9" s="38" t="s">
        <v>12</v>
      </c>
      <c r="F9" s="38" t="s">
        <v>13</v>
      </c>
      <c r="G9" s="38" t="s">
        <v>14</v>
      </c>
      <c r="H9" s="38" t="s">
        <v>15</v>
      </c>
      <c r="I9" s="38" t="s">
        <v>16</v>
      </c>
      <c r="J9" s="38" t="s">
        <v>17</v>
      </c>
      <c r="K9" s="38" t="s">
        <v>18</v>
      </c>
      <c r="L9" s="38" t="s">
        <v>19</v>
      </c>
      <c r="M9" s="38" t="s">
        <v>20</v>
      </c>
      <c r="N9" s="38" t="s">
        <v>21</v>
      </c>
      <c r="O9" s="38" t="s">
        <v>22</v>
      </c>
      <c r="P9" s="38" t="s">
        <v>23</v>
      </c>
      <c r="Q9" s="39" t="s">
        <v>25</v>
      </c>
      <c r="X9" s="64">
        <v>-0.11</v>
      </c>
      <c r="Z9" s="64">
        <v>-0.93</v>
      </c>
    </row>
    <row r="10" spans="1:28" x14ac:dyDescent="0.3">
      <c r="A10" s="20"/>
      <c r="B10" s="35"/>
      <c r="C10" s="36"/>
      <c r="D10" s="36" t="s">
        <v>9</v>
      </c>
      <c r="E10" s="9">
        <f>($D$6*$I$4)/12*C58</f>
        <v>45003.067125990092</v>
      </c>
      <c r="F10" s="9">
        <f>($D$6*$I$4)/12*D58</f>
        <v>49007.086744964363</v>
      </c>
      <c r="G10" s="9">
        <f>($E$6*$I$4)/12*E58</f>
        <v>1086.3212073104562</v>
      </c>
      <c r="H10" s="9">
        <f>($E$6*$I$4)/12*F58</f>
        <v>1015.8278875217939</v>
      </c>
      <c r="I10" s="9">
        <f>($F$6*$I$4)/12*G58</f>
        <v>32751.03094891088</v>
      </c>
      <c r="J10" s="9">
        <f>($F$6*$I$4)/12*H58</f>
        <v>32403.431211882042</v>
      </c>
      <c r="K10" s="9">
        <f>($G$6*$I$4)/12*I58</f>
        <v>48582.203534140055</v>
      </c>
      <c r="L10" s="9">
        <f>($G$6*$I$4)/12*J58</f>
        <v>50123.482404513677</v>
      </c>
      <c r="M10" s="9">
        <f>($G$6*$I$4)/12*K58</f>
        <v>37917.217260131569</v>
      </c>
      <c r="N10" s="9">
        <f>($G$6*$I$4)/12*L58</f>
        <v>53009.632360531446</v>
      </c>
      <c r="O10" s="9">
        <f>($G$6*$I$4)/12*M58</f>
        <v>37881.907733242813</v>
      </c>
      <c r="P10" s="9">
        <f>($F$6*$I$4)/12*N58</f>
        <v>30898.677143293877</v>
      </c>
      <c r="Q10" s="40">
        <f>SUM(E10:P10)</f>
        <v>419679.88556243305</v>
      </c>
      <c r="X10" s="64">
        <v>-0.12</v>
      </c>
      <c r="Z10" s="64">
        <v>-0.92</v>
      </c>
    </row>
    <row r="11" spans="1:28" x14ac:dyDescent="0.3">
      <c r="A11" s="20"/>
      <c r="B11" s="35"/>
      <c r="C11" s="36"/>
      <c r="D11" s="36" t="s">
        <v>10</v>
      </c>
      <c r="E11" s="9">
        <f>($D$6*$I$5)/12*C58</f>
        <v>43238.24096418656</v>
      </c>
      <c r="F11" s="9">
        <f>($D$6*$I$5)/12*D58</f>
        <v>47085.240205946153</v>
      </c>
      <c r="G11" s="9">
        <f>($E$6*$I$5)/12*E58</f>
        <v>1043.7203756512226</v>
      </c>
      <c r="H11" s="9">
        <f>($E$6*$I$5)/12*F58</f>
        <v>975.99149977584113</v>
      </c>
      <c r="I11" s="9">
        <f>($F$6*$I$5)/12*G58</f>
        <v>31466.676794051629</v>
      </c>
      <c r="J11" s="9">
        <f>($F$6*$I$5)/12*H58</f>
        <v>31132.708419259216</v>
      </c>
      <c r="K11" s="9">
        <f t="shared" ref="K11:P11" si="0">($G$6*$I$5)/12*I58</f>
        <v>46677.019081820836</v>
      </c>
      <c r="L11" s="9">
        <f t="shared" si="0"/>
        <v>48157.855643552357</v>
      </c>
      <c r="M11" s="9">
        <f t="shared" si="0"/>
        <v>36430.26756365582</v>
      </c>
      <c r="N11" s="9">
        <f t="shared" si="0"/>
        <v>50930.823248353743</v>
      </c>
      <c r="O11" s="9">
        <f t="shared" si="0"/>
        <v>36396.342724096037</v>
      </c>
      <c r="P11" s="9">
        <f t="shared" si="0"/>
        <v>44530.446471217649</v>
      </c>
      <c r="Q11" s="40">
        <f>SUM(E11:P11)</f>
        <v>418065.33299156709</v>
      </c>
      <c r="X11" s="64">
        <v>-0.13</v>
      </c>
      <c r="Z11" s="64">
        <v>-0.91</v>
      </c>
    </row>
    <row r="12" spans="1:28" ht="15" thickBot="1" x14ac:dyDescent="0.35">
      <c r="A12" s="20"/>
      <c r="B12" s="35"/>
      <c r="C12" s="36"/>
      <c r="D12" s="36" t="s">
        <v>11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40">
        <f>SUM(E12:P12)</f>
        <v>0</v>
      </c>
      <c r="X12" s="64">
        <v>-0.14000000000000001</v>
      </c>
      <c r="Z12" s="64">
        <v>-0.9</v>
      </c>
    </row>
    <row r="13" spans="1:28" ht="15" thickTop="1" x14ac:dyDescent="0.3">
      <c r="A13" s="20"/>
      <c r="B13" s="35"/>
      <c r="C13" s="41" t="s">
        <v>24</v>
      </c>
      <c r="D13" s="42"/>
      <c r="E13" s="43">
        <f t="shared" ref="E13:P13" si="1">SUM(E10:E12)</f>
        <v>88241.308090176652</v>
      </c>
      <c r="F13" s="43">
        <f t="shared" si="1"/>
        <v>96092.326950910516</v>
      </c>
      <c r="G13" s="43">
        <f t="shared" si="1"/>
        <v>2130.0415829616786</v>
      </c>
      <c r="H13" s="43">
        <f t="shared" si="1"/>
        <v>1991.8193872976349</v>
      </c>
      <c r="I13" s="43">
        <f t="shared" si="1"/>
        <v>64217.707742962506</v>
      </c>
      <c r="J13" s="43">
        <f t="shared" si="1"/>
        <v>63536.139631141254</v>
      </c>
      <c r="K13" s="43">
        <f t="shared" si="1"/>
        <v>95259.222615960898</v>
      </c>
      <c r="L13" s="43">
        <f t="shared" si="1"/>
        <v>98281.338048066042</v>
      </c>
      <c r="M13" s="43">
        <f t="shared" si="1"/>
        <v>74347.484823787381</v>
      </c>
      <c r="N13" s="43">
        <f t="shared" si="1"/>
        <v>103940.45560888518</v>
      </c>
      <c r="O13" s="43">
        <f t="shared" si="1"/>
        <v>74278.250457338843</v>
      </c>
      <c r="P13" s="43">
        <f t="shared" si="1"/>
        <v>75429.123614511525</v>
      </c>
      <c r="Q13" s="44">
        <f t="shared" ref="Q13" si="2">SUM(Q10:Q12)</f>
        <v>837745.21855400014</v>
      </c>
      <c r="X13" s="64">
        <v>-0.15</v>
      </c>
      <c r="Z13" s="64">
        <v>-0.89</v>
      </c>
    </row>
    <row r="14" spans="1:28" x14ac:dyDescent="0.3">
      <c r="A14" s="20"/>
      <c r="B14" s="35"/>
      <c r="C14" s="4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X14" s="64">
        <v>-0.16</v>
      </c>
      <c r="Z14" s="64">
        <v>-0.88</v>
      </c>
    </row>
    <row r="15" spans="1:28" x14ac:dyDescent="0.3">
      <c r="A15" s="21"/>
      <c r="B15" s="37" t="s">
        <v>8</v>
      </c>
      <c r="C15" s="4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X15" s="64">
        <v>-0.17</v>
      </c>
      <c r="Z15" s="64">
        <v>-0.87</v>
      </c>
    </row>
    <row r="16" spans="1:28" x14ac:dyDescent="0.3">
      <c r="A16" s="20"/>
      <c r="B16" s="35"/>
      <c r="C16" s="45"/>
      <c r="D16" s="36" t="s">
        <v>2</v>
      </c>
      <c r="E16" s="9">
        <f t="shared" ref="E16:P16" si="3">(E11*$M$4)</f>
        <v>6053.353734986119</v>
      </c>
      <c r="F16" s="9">
        <f t="shared" si="3"/>
        <v>6591.9336288324621</v>
      </c>
      <c r="G16" s="9">
        <f t="shared" si="3"/>
        <v>146.12085259117117</v>
      </c>
      <c r="H16" s="9">
        <f t="shared" si="3"/>
        <v>136.63880996861778</v>
      </c>
      <c r="I16" s="9">
        <f t="shared" si="3"/>
        <v>4405.3347511672282</v>
      </c>
      <c r="J16" s="9">
        <f t="shared" si="3"/>
        <v>4358.5791786962909</v>
      </c>
      <c r="K16" s="9">
        <f t="shared" si="3"/>
        <v>6534.7826714549174</v>
      </c>
      <c r="L16" s="9">
        <f t="shared" si="3"/>
        <v>6742.0997900973307</v>
      </c>
      <c r="M16" s="9">
        <f t="shared" si="3"/>
        <v>5100.2374589118153</v>
      </c>
      <c r="N16" s="9">
        <f t="shared" si="3"/>
        <v>7130.3152547695245</v>
      </c>
      <c r="O16" s="9">
        <f t="shared" si="3"/>
        <v>5095.487981373446</v>
      </c>
      <c r="P16" s="9">
        <f t="shared" si="3"/>
        <v>6234.2625059704715</v>
      </c>
      <c r="Q16" s="40">
        <f>SUM(E16:P16)</f>
        <v>58529.146618819388</v>
      </c>
      <c r="X16" s="64">
        <v>-0.18</v>
      </c>
      <c r="Z16" s="64">
        <v>-0.86</v>
      </c>
    </row>
    <row r="17" spans="1:26" x14ac:dyDescent="0.3">
      <c r="A17" s="20"/>
      <c r="B17" s="35"/>
      <c r="C17" s="45"/>
      <c r="D17" s="36" t="s">
        <v>32</v>
      </c>
      <c r="E17" s="9">
        <f t="shared" ref="E17:P17" si="4">(E11*$M$5)</f>
        <v>10377.177831404773</v>
      </c>
      <c r="F17" s="9">
        <f t="shared" si="4"/>
        <v>11300.457649427077</v>
      </c>
      <c r="G17" s="9">
        <f t="shared" si="4"/>
        <v>250.49289015629341</v>
      </c>
      <c r="H17" s="9">
        <f t="shared" si="4"/>
        <v>234.23795994620187</v>
      </c>
      <c r="I17" s="9">
        <f t="shared" si="4"/>
        <v>7552.0024305723909</v>
      </c>
      <c r="J17" s="9">
        <f t="shared" si="4"/>
        <v>7471.8500206222116</v>
      </c>
      <c r="K17" s="9">
        <f t="shared" si="4"/>
        <v>11202.484579637001</v>
      </c>
      <c r="L17" s="9">
        <f t="shared" si="4"/>
        <v>11557.885354452565</v>
      </c>
      <c r="M17" s="9">
        <f t="shared" si="4"/>
        <v>8743.2642152773969</v>
      </c>
      <c r="N17" s="9">
        <f t="shared" si="4"/>
        <v>12223.397579604898</v>
      </c>
      <c r="O17" s="9">
        <f t="shared" si="4"/>
        <v>8735.122253783049</v>
      </c>
      <c r="P17" s="9">
        <f t="shared" si="4"/>
        <v>10687.307153092235</v>
      </c>
      <c r="Q17" s="40">
        <f>SUM(E17:P17)</f>
        <v>100335.67991797609</v>
      </c>
      <c r="X17" s="64">
        <v>-0.19</v>
      </c>
      <c r="Z17" s="64">
        <v>-0.85</v>
      </c>
    </row>
    <row r="18" spans="1:26" ht="15" thickBot="1" x14ac:dyDescent="0.35">
      <c r="A18" s="20"/>
      <c r="B18" s="35"/>
      <c r="C18" s="45"/>
      <c r="D18" s="36" t="s">
        <v>3</v>
      </c>
      <c r="E18" s="10">
        <f t="shared" ref="E18:P18" si="5">(E11*$M$6)</f>
        <v>8647.6481928373123</v>
      </c>
      <c r="F18" s="10">
        <f t="shared" si="5"/>
        <v>9417.0480411892313</v>
      </c>
      <c r="G18" s="10">
        <f t="shared" si="5"/>
        <v>208.74407513024454</v>
      </c>
      <c r="H18" s="10">
        <f t="shared" si="5"/>
        <v>195.19829995516824</v>
      </c>
      <c r="I18" s="10">
        <f t="shared" si="5"/>
        <v>6293.3353588103264</v>
      </c>
      <c r="J18" s="10">
        <f t="shared" si="5"/>
        <v>6226.5416838518431</v>
      </c>
      <c r="K18" s="10">
        <f t="shared" si="5"/>
        <v>9335.4038163641671</v>
      </c>
      <c r="L18" s="10">
        <f t="shared" si="5"/>
        <v>9631.5711287104714</v>
      </c>
      <c r="M18" s="10">
        <f t="shared" si="5"/>
        <v>7286.0535127311641</v>
      </c>
      <c r="N18" s="10">
        <f t="shared" si="5"/>
        <v>10186.164649670749</v>
      </c>
      <c r="O18" s="10">
        <f t="shared" si="5"/>
        <v>7279.2685448192078</v>
      </c>
      <c r="P18" s="10">
        <f t="shared" si="5"/>
        <v>8906.0892942435294</v>
      </c>
      <c r="Q18" s="40">
        <f>SUM(E18:P18)</f>
        <v>83613.066598313424</v>
      </c>
      <c r="X18" s="64">
        <v>-0.2</v>
      </c>
      <c r="Z18" s="64">
        <v>-0.84</v>
      </c>
    </row>
    <row r="19" spans="1:26" ht="15.6" thickTop="1" thickBot="1" x14ac:dyDescent="0.35">
      <c r="A19" s="20"/>
      <c r="B19" s="35"/>
      <c r="C19" s="45"/>
      <c r="D19" s="36" t="s">
        <v>33</v>
      </c>
      <c r="E19" s="11">
        <f t="shared" ref="E19:P19" si="6">SUM(E16:E18)</f>
        <v>25078.179759228202</v>
      </c>
      <c r="F19" s="11">
        <f t="shared" si="6"/>
        <v>27309.439319448771</v>
      </c>
      <c r="G19" s="11">
        <f t="shared" si="6"/>
        <v>605.35781787770907</v>
      </c>
      <c r="H19" s="11">
        <f t="shared" si="6"/>
        <v>566.07506986998783</v>
      </c>
      <c r="I19" s="11">
        <f t="shared" si="6"/>
        <v>18250.672540549946</v>
      </c>
      <c r="J19" s="11">
        <f t="shared" si="6"/>
        <v>18056.970883170346</v>
      </c>
      <c r="K19" s="11">
        <f t="shared" si="6"/>
        <v>27072.671067456085</v>
      </c>
      <c r="L19" s="11">
        <f t="shared" si="6"/>
        <v>27931.556273260365</v>
      </c>
      <c r="M19" s="11">
        <f t="shared" si="6"/>
        <v>21129.555186920377</v>
      </c>
      <c r="N19" s="11">
        <f t="shared" si="6"/>
        <v>29539.877484045173</v>
      </c>
      <c r="O19" s="11">
        <f t="shared" si="6"/>
        <v>21109.878779975705</v>
      </c>
      <c r="P19" s="17">
        <f t="shared" si="6"/>
        <v>25827.658953306236</v>
      </c>
      <c r="Q19" s="46">
        <f>SUM(E19:P19)</f>
        <v>242477.8931351089</v>
      </c>
      <c r="X19" s="64">
        <v>-0.21</v>
      </c>
      <c r="Z19" s="64">
        <v>-0.83</v>
      </c>
    </row>
    <row r="20" spans="1:26" ht="15" thickTop="1" x14ac:dyDescent="0.3">
      <c r="A20" s="20"/>
      <c r="B20" s="35"/>
      <c r="C20" s="41" t="s">
        <v>26</v>
      </c>
      <c r="D20" s="42"/>
      <c r="E20" s="47">
        <f t="shared" ref="E20:P20" si="7">E13-E19</f>
        <v>63163.12833094845</v>
      </c>
      <c r="F20" s="47">
        <f t="shared" si="7"/>
        <v>68782.887631461752</v>
      </c>
      <c r="G20" s="47">
        <f t="shared" si="7"/>
        <v>1524.6837650839695</v>
      </c>
      <c r="H20" s="47">
        <f t="shared" si="7"/>
        <v>1425.744317427647</v>
      </c>
      <c r="I20" s="47">
        <f t="shared" si="7"/>
        <v>45967.03520241256</v>
      </c>
      <c r="J20" s="47">
        <f t="shared" si="7"/>
        <v>45479.168747970907</v>
      </c>
      <c r="K20" s="47">
        <f t="shared" si="7"/>
        <v>68186.551548504809</v>
      </c>
      <c r="L20" s="47">
        <f t="shared" si="7"/>
        <v>70349.781774805684</v>
      </c>
      <c r="M20" s="47">
        <f t="shared" si="7"/>
        <v>53217.929636867004</v>
      </c>
      <c r="N20" s="47">
        <f t="shared" si="7"/>
        <v>74400.578124840016</v>
      </c>
      <c r="O20" s="47">
        <f t="shared" si="7"/>
        <v>53168.371677363139</v>
      </c>
      <c r="P20" s="47">
        <f t="shared" si="7"/>
        <v>49601.464661205289</v>
      </c>
      <c r="Q20" s="40">
        <f>SUM(E20:P20)</f>
        <v>595267.32541889127</v>
      </c>
      <c r="X20" s="64">
        <v>-0.22</v>
      </c>
      <c r="Z20" s="64">
        <v>-0.82</v>
      </c>
    </row>
    <row r="21" spans="1:26" x14ac:dyDescent="0.3">
      <c r="A21" s="20"/>
      <c r="B21" s="35"/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X21" s="64">
        <v>-0.23</v>
      </c>
      <c r="Z21" s="64">
        <v>-0.81</v>
      </c>
    </row>
    <row r="22" spans="1:26" x14ac:dyDescent="0.3">
      <c r="A22" s="21"/>
      <c r="B22" s="37" t="s">
        <v>7</v>
      </c>
      <c r="C22" s="4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X22" s="64">
        <v>-0.24</v>
      </c>
      <c r="Z22" s="64">
        <v>-0.8</v>
      </c>
    </row>
    <row r="23" spans="1:26" x14ac:dyDescent="0.3">
      <c r="A23" s="21"/>
      <c r="B23" s="37"/>
      <c r="C23" s="38" t="s">
        <v>27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X23" s="64">
        <v>-0.25</v>
      </c>
      <c r="Z23" s="64">
        <v>-0.79</v>
      </c>
    </row>
    <row r="24" spans="1:26" x14ac:dyDescent="0.3">
      <c r="A24" s="20"/>
      <c r="B24" s="35"/>
      <c r="C24" s="45"/>
      <c r="D24" s="36" t="s">
        <v>28</v>
      </c>
      <c r="E24" s="9">
        <f t="shared" ref="E24:P24" si="8">E13*$K$4</f>
        <v>21177.913941642397</v>
      </c>
      <c r="F24" s="9">
        <f t="shared" si="8"/>
        <v>23062.158468218524</v>
      </c>
      <c r="G24" s="9">
        <f t="shared" si="8"/>
        <v>511.20997991080287</v>
      </c>
      <c r="H24" s="9">
        <f t="shared" si="8"/>
        <v>478.03665295143236</v>
      </c>
      <c r="I24" s="9">
        <f t="shared" si="8"/>
        <v>15412.249858311001</v>
      </c>
      <c r="J24" s="9">
        <f t="shared" si="8"/>
        <v>15248.6735114739</v>
      </c>
      <c r="K24" s="9">
        <f t="shared" si="8"/>
        <v>22862.213427830615</v>
      </c>
      <c r="L24" s="9">
        <f t="shared" si="8"/>
        <v>23587.52113153585</v>
      </c>
      <c r="M24" s="9">
        <f t="shared" si="8"/>
        <v>17843.396357708971</v>
      </c>
      <c r="N24" s="9">
        <f t="shared" si="8"/>
        <v>24945.709346132444</v>
      </c>
      <c r="O24" s="9">
        <f t="shared" si="8"/>
        <v>17826.780109761323</v>
      </c>
      <c r="P24" s="9">
        <f t="shared" si="8"/>
        <v>18102.989667482765</v>
      </c>
      <c r="Q24" s="40">
        <f>SUM(E24:P24)</f>
        <v>201058.85245296001</v>
      </c>
      <c r="X24" s="64">
        <v>-0.26</v>
      </c>
      <c r="Z24" s="64">
        <v>-0.78</v>
      </c>
    </row>
    <row r="25" spans="1:26" x14ac:dyDescent="0.3">
      <c r="A25" s="20"/>
      <c r="B25" s="35"/>
      <c r="C25" s="45"/>
      <c r="D25" s="36" t="s">
        <v>50</v>
      </c>
      <c r="E25" s="16">
        <f>100000/12</f>
        <v>8333.3333333333339</v>
      </c>
      <c r="F25" s="16">
        <f t="shared" ref="F25:O25" si="9">100000/12</f>
        <v>8333.3333333333339</v>
      </c>
      <c r="G25" s="16">
        <f t="shared" si="9"/>
        <v>8333.3333333333339</v>
      </c>
      <c r="H25" s="16">
        <f t="shared" si="9"/>
        <v>8333.3333333333339</v>
      </c>
      <c r="I25" s="16">
        <f t="shared" si="9"/>
        <v>8333.3333333333339</v>
      </c>
      <c r="J25" s="16">
        <f t="shared" si="9"/>
        <v>8333.3333333333339</v>
      </c>
      <c r="K25" s="16">
        <f t="shared" si="9"/>
        <v>8333.3333333333339</v>
      </c>
      <c r="L25" s="16">
        <f t="shared" si="9"/>
        <v>8333.3333333333339</v>
      </c>
      <c r="M25" s="16">
        <f t="shared" si="9"/>
        <v>8333.3333333333339</v>
      </c>
      <c r="N25" s="16">
        <f t="shared" si="9"/>
        <v>8333.3333333333339</v>
      </c>
      <c r="O25" s="16">
        <f t="shared" si="9"/>
        <v>8333.3333333333339</v>
      </c>
      <c r="P25" s="16">
        <f>100000/12</f>
        <v>8333.3333333333339</v>
      </c>
      <c r="Q25" s="40">
        <f>SUM(E25:P25)</f>
        <v>99999.999999999985</v>
      </c>
      <c r="X25" s="64">
        <v>-0.27</v>
      </c>
      <c r="Z25" s="64">
        <v>-0.77</v>
      </c>
    </row>
    <row r="26" spans="1:26" x14ac:dyDescent="0.3">
      <c r="A26" s="20"/>
      <c r="B26" s="35"/>
      <c r="C26" s="45"/>
      <c r="D26" s="36" t="s">
        <v>43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0">
        <f>SUM(E26:P26)</f>
        <v>0</v>
      </c>
      <c r="X26" s="64">
        <v>-0.28000000000000003</v>
      </c>
      <c r="Z26" s="64">
        <v>-0.76</v>
      </c>
    </row>
    <row r="27" spans="1:26" ht="15" thickBot="1" x14ac:dyDescent="0.35">
      <c r="A27" s="20"/>
      <c r="B27" s="35"/>
      <c r="C27" s="45"/>
      <c r="D27" s="36" t="s">
        <v>48</v>
      </c>
      <c r="E27" s="24">
        <f t="shared" ref="E27:P27" si="10">SUM(E24:E26)*$Q$4</f>
        <v>1770.6748364985438</v>
      </c>
      <c r="F27" s="24">
        <f t="shared" si="10"/>
        <v>1883.7295080931112</v>
      </c>
      <c r="G27" s="24">
        <f t="shared" si="10"/>
        <v>530.67259879464825</v>
      </c>
      <c r="H27" s="24">
        <f t="shared" si="10"/>
        <v>528.68219917708598</v>
      </c>
      <c r="I27" s="24">
        <f t="shared" si="10"/>
        <v>1424.7349914986601</v>
      </c>
      <c r="J27" s="24">
        <f t="shared" si="10"/>
        <v>1414.920410688434</v>
      </c>
      <c r="K27" s="24">
        <f t="shared" si="10"/>
        <v>1871.7328056698368</v>
      </c>
      <c r="L27" s="24">
        <f t="shared" si="10"/>
        <v>1915.251267892151</v>
      </c>
      <c r="M27" s="24">
        <f t="shared" si="10"/>
        <v>1570.6037814625381</v>
      </c>
      <c r="N27" s="24">
        <f t="shared" si="10"/>
        <v>1996.7425607679465</v>
      </c>
      <c r="O27" s="24">
        <f t="shared" si="10"/>
        <v>1569.6068065856794</v>
      </c>
      <c r="P27" s="24">
        <f t="shared" si="10"/>
        <v>1586.1793800489659</v>
      </c>
      <c r="Q27" s="40">
        <f>SUM(E27:P27)</f>
        <v>18063.5311471776</v>
      </c>
      <c r="X27" s="64">
        <v>-0.28999999999999998</v>
      </c>
      <c r="Z27" s="64">
        <v>-0.75</v>
      </c>
    </row>
    <row r="28" spans="1:26" ht="15" thickTop="1" x14ac:dyDescent="0.3">
      <c r="A28" s="20"/>
      <c r="B28" s="35"/>
      <c r="C28" s="41" t="s">
        <v>34</v>
      </c>
      <c r="D28" s="42"/>
      <c r="E28" s="43">
        <f t="shared" ref="E28:P28" si="11">SUM(E24:E27)</f>
        <v>31281.922111474272</v>
      </c>
      <c r="F28" s="43">
        <f t="shared" si="11"/>
        <v>33279.22130964497</v>
      </c>
      <c r="G28" s="43">
        <f t="shared" si="11"/>
        <v>9375.215912038786</v>
      </c>
      <c r="H28" s="43">
        <f t="shared" si="11"/>
        <v>9340.0521854618528</v>
      </c>
      <c r="I28" s="43">
        <f t="shared" si="11"/>
        <v>25170.318183142994</v>
      </c>
      <c r="J28" s="43">
        <f t="shared" si="11"/>
        <v>24996.92725549567</v>
      </c>
      <c r="K28" s="43">
        <f t="shared" si="11"/>
        <v>33067.279566833786</v>
      </c>
      <c r="L28" s="43">
        <f t="shared" si="11"/>
        <v>33836.105732761331</v>
      </c>
      <c r="M28" s="43">
        <f t="shared" si="11"/>
        <v>27747.333472504841</v>
      </c>
      <c r="N28" s="43">
        <f t="shared" si="11"/>
        <v>35275.785240233723</v>
      </c>
      <c r="O28" s="43">
        <f t="shared" si="11"/>
        <v>27729.720249680333</v>
      </c>
      <c r="P28" s="43">
        <f t="shared" si="11"/>
        <v>28022.502380865062</v>
      </c>
      <c r="Q28" s="44">
        <f>SUM(E28:P28)</f>
        <v>319122.38360013755</v>
      </c>
      <c r="X28" s="64">
        <v>-0.3</v>
      </c>
      <c r="Z28" s="64">
        <v>-0.74</v>
      </c>
    </row>
    <row r="29" spans="1:26" x14ac:dyDescent="0.3">
      <c r="A29" s="20"/>
      <c r="B29" s="35"/>
      <c r="C29" s="45"/>
      <c r="D29" s="36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X29" s="64">
        <v>-0.31</v>
      </c>
      <c r="Z29" s="64">
        <v>-0.73</v>
      </c>
    </row>
    <row r="30" spans="1:26" x14ac:dyDescent="0.3">
      <c r="A30" s="20"/>
      <c r="B30" s="35"/>
      <c r="C30" s="38" t="s">
        <v>31</v>
      </c>
      <c r="D30" s="36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X30" s="64">
        <v>-0.32</v>
      </c>
      <c r="Z30" s="64">
        <v>-0.72</v>
      </c>
    </row>
    <row r="31" spans="1:26" ht="15" thickBot="1" x14ac:dyDescent="0.35">
      <c r="A31" s="20"/>
      <c r="B31" s="35"/>
      <c r="C31" s="41" t="s">
        <v>40</v>
      </c>
      <c r="D31" s="42" t="s">
        <v>37</v>
      </c>
      <c r="E31" s="14">
        <f>($D$6/12)*$K$6</f>
        <v>8000</v>
      </c>
      <c r="F31" s="14">
        <f>($D$6/12)*$K$6</f>
        <v>8000</v>
      </c>
      <c r="G31" s="14">
        <v>0</v>
      </c>
      <c r="H31" s="14">
        <v>0</v>
      </c>
      <c r="I31" s="14">
        <f t="shared" ref="I31:P31" si="12">($D$6/12)*$K$6</f>
        <v>8000</v>
      </c>
      <c r="J31" s="14">
        <f t="shared" si="12"/>
        <v>8000</v>
      </c>
      <c r="K31" s="14">
        <f t="shared" si="12"/>
        <v>8000</v>
      </c>
      <c r="L31" s="14">
        <f t="shared" si="12"/>
        <v>8000</v>
      </c>
      <c r="M31" s="14">
        <f t="shared" si="12"/>
        <v>8000</v>
      </c>
      <c r="N31" s="14">
        <f t="shared" si="12"/>
        <v>8000</v>
      </c>
      <c r="O31" s="14">
        <f t="shared" si="12"/>
        <v>8000</v>
      </c>
      <c r="P31" s="14">
        <f t="shared" si="12"/>
        <v>8000</v>
      </c>
      <c r="Q31" s="40">
        <f>SUM(E31:P31)</f>
        <v>80000</v>
      </c>
      <c r="X31" s="64">
        <v>-0.33</v>
      </c>
      <c r="Z31" s="64">
        <v>-0.71</v>
      </c>
    </row>
    <row r="32" spans="1:26" ht="15" thickTop="1" x14ac:dyDescent="0.3">
      <c r="A32" s="20"/>
      <c r="B32" s="35"/>
      <c r="C32" s="33"/>
      <c r="D32" s="36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X32" s="64">
        <v>-0.34</v>
      </c>
      <c r="Z32" s="64">
        <v>-0.7</v>
      </c>
    </row>
    <row r="33" spans="1:26" x14ac:dyDescent="0.3">
      <c r="A33" s="20"/>
      <c r="B33" s="35"/>
      <c r="C33" s="38" t="s">
        <v>35</v>
      </c>
      <c r="D33" s="36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X33" s="64">
        <v>-0.35</v>
      </c>
      <c r="Z33" s="64">
        <v>-0.69</v>
      </c>
    </row>
    <row r="34" spans="1:26" x14ac:dyDescent="0.3">
      <c r="A34" s="20"/>
      <c r="B34" s="35"/>
      <c r="C34" s="45"/>
      <c r="D34" s="36" t="s">
        <v>38</v>
      </c>
      <c r="E34" s="12">
        <f>(E13*$K$5)</f>
        <v>3529.6523236070661</v>
      </c>
      <c r="F34" s="12">
        <f>(F13*$K$5)</f>
        <v>3843.6930780364205</v>
      </c>
      <c r="G34" s="12">
        <v>0</v>
      </c>
      <c r="H34" s="12">
        <v>0</v>
      </c>
      <c r="I34" s="12">
        <f t="shared" ref="I34:P34" si="13">(I13*$K$5)</f>
        <v>2568.7083097185005</v>
      </c>
      <c r="J34" s="12">
        <f t="shared" si="13"/>
        <v>2541.4455852456504</v>
      </c>
      <c r="K34" s="12">
        <f t="shared" si="13"/>
        <v>3810.3689046384361</v>
      </c>
      <c r="L34" s="12">
        <f t="shared" si="13"/>
        <v>3931.2535219226415</v>
      </c>
      <c r="M34" s="12">
        <f t="shared" si="13"/>
        <v>2973.8993929514954</v>
      </c>
      <c r="N34" s="12">
        <f t="shared" si="13"/>
        <v>4157.6182243554076</v>
      </c>
      <c r="O34" s="12">
        <f t="shared" si="13"/>
        <v>2971.1300182935538</v>
      </c>
      <c r="P34" s="12">
        <f t="shared" si="13"/>
        <v>3017.164944580461</v>
      </c>
      <c r="Q34" s="40">
        <f>SUM(E34:P34)</f>
        <v>33344.934303349626</v>
      </c>
      <c r="X34" s="64">
        <v>-0.36</v>
      </c>
      <c r="Z34" s="64">
        <v>-0.68</v>
      </c>
    </row>
    <row r="35" spans="1:26" x14ac:dyDescent="0.3">
      <c r="A35" s="20"/>
      <c r="B35" s="35"/>
      <c r="C35" s="45"/>
      <c r="D35" s="36" t="s">
        <v>36</v>
      </c>
      <c r="E35" s="12">
        <f t="shared" ref="E35:P35" si="14">(E13*$O$5)</f>
        <v>441.20654045088327</v>
      </c>
      <c r="F35" s="12">
        <f t="shared" si="14"/>
        <v>480.46163475455256</v>
      </c>
      <c r="G35" s="12">
        <f t="shared" si="14"/>
        <v>10.650207914808393</v>
      </c>
      <c r="H35" s="12">
        <f t="shared" si="14"/>
        <v>9.9590969364881747</v>
      </c>
      <c r="I35" s="12">
        <f t="shared" si="14"/>
        <v>321.08853871481256</v>
      </c>
      <c r="J35" s="12">
        <f t="shared" si="14"/>
        <v>317.6806981557063</v>
      </c>
      <c r="K35" s="12">
        <f t="shared" si="14"/>
        <v>476.29611307980451</v>
      </c>
      <c r="L35" s="12">
        <f t="shared" si="14"/>
        <v>491.40669024033019</v>
      </c>
      <c r="M35" s="12">
        <f t="shared" si="14"/>
        <v>371.73742411893693</v>
      </c>
      <c r="N35" s="12">
        <f t="shared" si="14"/>
        <v>519.70227804442595</v>
      </c>
      <c r="O35" s="12">
        <f t="shared" si="14"/>
        <v>371.39125228669423</v>
      </c>
      <c r="P35" s="12">
        <f t="shared" si="14"/>
        <v>377.14561807255762</v>
      </c>
      <c r="Q35" s="40">
        <f t="shared" ref="Q35:Q36" si="15">SUM(E35:P35)</f>
        <v>4188.7260927699999</v>
      </c>
      <c r="X35" s="64">
        <v>-0.37</v>
      </c>
      <c r="Z35" s="64">
        <v>-0.67</v>
      </c>
    </row>
    <row r="36" spans="1:26" ht="15" thickBot="1" x14ac:dyDescent="0.35">
      <c r="A36" s="20"/>
      <c r="B36" s="35"/>
      <c r="C36" s="45"/>
      <c r="D36" s="36" t="s">
        <v>39</v>
      </c>
      <c r="E36" s="13">
        <f t="shared" ref="E36:P36" si="16">(E13*$O$4)</f>
        <v>4412.0654045088331</v>
      </c>
      <c r="F36" s="13">
        <f t="shared" si="16"/>
        <v>4804.616347545526</v>
      </c>
      <c r="G36" s="13">
        <f t="shared" si="16"/>
        <v>106.50207914808394</v>
      </c>
      <c r="H36" s="13">
        <f t="shared" si="16"/>
        <v>99.590969364881744</v>
      </c>
      <c r="I36" s="13">
        <f t="shared" si="16"/>
        <v>3210.8853871481256</v>
      </c>
      <c r="J36" s="13">
        <f t="shared" si="16"/>
        <v>3176.806981557063</v>
      </c>
      <c r="K36" s="13">
        <f t="shared" si="16"/>
        <v>4762.9611307980449</v>
      </c>
      <c r="L36" s="13">
        <f t="shared" si="16"/>
        <v>4914.0669024033023</v>
      </c>
      <c r="M36" s="13">
        <f t="shared" si="16"/>
        <v>3717.3742411893691</v>
      </c>
      <c r="N36" s="13">
        <f t="shared" si="16"/>
        <v>5197.0227804442593</v>
      </c>
      <c r="O36" s="13">
        <f t="shared" si="16"/>
        <v>3713.9125228669423</v>
      </c>
      <c r="P36" s="13">
        <f t="shared" si="16"/>
        <v>3771.4561807255764</v>
      </c>
      <c r="Q36" s="40">
        <f t="shared" si="15"/>
        <v>41887.260927700008</v>
      </c>
      <c r="X36" s="64">
        <v>-0.38</v>
      </c>
      <c r="Z36" s="64">
        <v>-0.66</v>
      </c>
    </row>
    <row r="37" spans="1:26" ht="15" thickTop="1" x14ac:dyDescent="0.3">
      <c r="A37" s="20"/>
      <c r="B37" s="35"/>
      <c r="C37" s="41" t="s">
        <v>41</v>
      </c>
      <c r="D37" s="42"/>
      <c r="E37" s="47">
        <f>SUM(E34:E36)</f>
        <v>8382.9242685667814</v>
      </c>
      <c r="F37" s="47">
        <f t="shared" ref="F37:Q37" si="17">SUM(F34:F36)</f>
        <v>9128.7710603364994</v>
      </c>
      <c r="G37" s="47">
        <f t="shared" si="17"/>
        <v>117.15228706289233</v>
      </c>
      <c r="H37" s="47">
        <f t="shared" si="17"/>
        <v>109.55006630136992</v>
      </c>
      <c r="I37" s="47">
        <f t="shared" si="17"/>
        <v>6100.6822355814384</v>
      </c>
      <c r="J37" s="47">
        <f t="shared" si="17"/>
        <v>6035.9332649584194</v>
      </c>
      <c r="K37" s="47">
        <f t="shared" si="17"/>
        <v>9049.6261485162868</v>
      </c>
      <c r="L37" s="47">
        <f t="shared" si="17"/>
        <v>9336.7271145662744</v>
      </c>
      <c r="M37" s="47">
        <f t="shared" si="17"/>
        <v>7063.0110582598008</v>
      </c>
      <c r="N37" s="47">
        <f t="shared" si="17"/>
        <v>9874.3432828440928</v>
      </c>
      <c r="O37" s="47">
        <f t="shared" si="17"/>
        <v>7056.4337934471896</v>
      </c>
      <c r="P37" s="47">
        <f t="shared" si="17"/>
        <v>7165.7667433785955</v>
      </c>
      <c r="Q37" s="40">
        <f t="shared" si="17"/>
        <v>79420.921323819639</v>
      </c>
      <c r="X37" s="64">
        <v>-0.39</v>
      </c>
      <c r="Z37" s="64">
        <v>-0.65</v>
      </c>
    </row>
    <row r="38" spans="1:26" x14ac:dyDescent="0.3">
      <c r="A38" s="20"/>
      <c r="B38" s="35"/>
      <c r="C38" s="45"/>
      <c r="D38" s="36"/>
      <c r="E38" s="57">
        <f>SUM(E37,E31,E28,)</f>
        <v>47664.846380041054</v>
      </c>
      <c r="F38" s="57">
        <f t="shared" ref="F38:P38" si="18">SUM(F37,F31,F28,)</f>
        <v>50407.992369981468</v>
      </c>
      <c r="G38" s="57">
        <f t="shared" si="18"/>
        <v>9492.3681991016783</v>
      </c>
      <c r="H38" s="57">
        <f t="shared" si="18"/>
        <v>9449.6022517632227</v>
      </c>
      <c r="I38" s="57">
        <f t="shared" si="18"/>
        <v>39271.000418724434</v>
      </c>
      <c r="J38" s="57">
        <f t="shared" si="18"/>
        <v>39032.860520454087</v>
      </c>
      <c r="K38" s="57">
        <f t="shared" si="18"/>
        <v>50116.905715350076</v>
      </c>
      <c r="L38" s="57">
        <f t="shared" si="18"/>
        <v>51172.832847327605</v>
      </c>
      <c r="M38" s="57">
        <f t="shared" si="18"/>
        <v>42810.34453076464</v>
      </c>
      <c r="N38" s="57">
        <f t="shared" si="18"/>
        <v>53150.128523077816</v>
      </c>
      <c r="O38" s="57">
        <f t="shared" si="18"/>
        <v>42786.154043127521</v>
      </c>
      <c r="P38" s="57">
        <f t="shared" si="18"/>
        <v>43188.269124243656</v>
      </c>
      <c r="Q38" s="34"/>
      <c r="X38" s="64">
        <v>-0.4</v>
      </c>
      <c r="Z38" s="64">
        <v>-0.64</v>
      </c>
    </row>
    <row r="39" spans="1:26" x14ac:dyDescent="0.3">
      <c r="A39" s="22"/>
      <c r="B39" s="48" t="s">
        <v>42</v>
      </c>
      <c r="C39" s="49"/>
      <c r="D39" s="50"/>
      <c r="E39" s="51">
        <f t="shared" ref="E39:Q39" si="19">E20-SUM(E28,E31,E37)</f>
        <v>15498.281950907396</v>
      </c>
      <c r="F39" s="51">
        <f t="shared" si="19"/>
        <v>18374.895261480284</v>
      </c>
      <c r="G39" s="51">
        <f t="shared" si="19"/>
        <v>-7967.6844340177086</v>
      </c>
      <c r="H39" s="51">
        <f t="shared" si="19"/>
        <v>-8023.8579343355759</v>
      </c>
      <c r="I39" s="51">
        <f t="shared" si="19"/>
        <v>6696.0347836881265</v>
      </c>
      <c r="J39" s="51">
        <f t="shared" si="19"/>
        <v>6446.3082275168199</v>
      </c>
      <c r="K39" s="51">
        <f t="shared" si="19"/>
        <v>18069.645833154733</v>
      </c>
      <c r="L39" s="51">
        <f t="shared" si="19"/>
        <v>19176.948927478079</v>
      </c>
      <c r="M39" s="51">
        <f t="shared" si="19"/>
        <v>10407.585106102364</v>
      </c>
      <c r="N39" s="51">
        <f t="shared" si="19"/>
        <v>21250.4496017622</v>
      </c>
      <c r="O39" s="51">
        <f t="shared" si="19"/>
        <v>10382.217634235611</v>
      </c>
      <c r="P39" s="51">
        <f t="shared" si="19"/>
        <v>6413.1955369616335</v>
      </c>
      <c r="Q39" s="40">
        <f t="shared" si="19"/>
        <v>116724.02049493406</v>
      </c>
      <c r="X39" s="64">
        <v>-0.41</v>
      </c>
      <c r="Z39" s="64">
        <v>-0.63</v>
      </c>
    </row>
    <row r="40" spans="1:26" ht="15" thickBot="1" x14ac:dyDescent="0.35">
      <c r="A40" s="23"/>
      <c r="B40" s="52"/>
      <c r="C40" s="53"/>
      <c r="D40" s="54" t="s">
        <v>44</v>
      </c>
      <c r="E40" s="55">
        <f>E39/E13</f>
        <v>0.17563522443558066</v>
      </c>
      <c r="F40" s="55">
        <f t="shared" ref="F40:Q40" si="20">F39/F13</f>
        <v>0.19122125402236576</v>
      </c>
      <c r="G40" s="55">
        <f t="shared" si="20"/>
        <v>-3.7406238909848808</v>
      </c>
      <c r="H40" s="55">
        <f t="shared" si="20"/>
        <v>-4.0284063833828831</v>
      </c>
      <c r="I40" s="55">
        <f t="shared" si="20"/>
        <v>0.10427084707678518</v>
      </c>
      <c r="J40" s="55">
        <f t="shared" si="20"/>
        <v>0.10145892188195302</v>
      </c>
      <c r="K40" s="55">
        <f t="shared" si="20"/>
        <v>0.18968920107612891</v>
      </c>
      <c r="L40" s="55">
        <f t="shared" si="20"/>
        <v>0.19512299393094637</v>
      </c>
      <c r="M40" s="55">
        <f t="shared" si="20"/>
        <v>0.13998570537752034</v>
      </c>
      <c r="N40" s="55">
        <f t="shared" si="20"/>
        <v>0.20444830145564266</v>
      </c>
      <c r="O40" s="55">
        <f t="shared" si="20"/>
        <v>0.13977466580474401</v>
      </c>
      <c r="P40" s="55">
        <f t="shared" si="20"/>
        <v>8.5022803257491689E-2</v>
      </c>
      <c r="Q40" s="56">
        <f t="shared" si="20"/>
        <v>0.13933116884439747</v>
      </c>
      <c r="X40" s="64">
        <v>-0.42</v>
      </c>
      <c r="Z40" s="64">
        <v>-0.62</v>
      </c>
    </row>
    <row r="41" spans="1:26" ht="15" thickTop="1" x14ac:dyDescent="0.3">
      <c r="C41" s="3"/>
      <c r="Q41" s="4"/>
      <c r="X41" s="64">
        <v>-0.43</v>
      </c>
      <c r="Z41" s="64">
        <v>-0.61</v>
      </c>
    </row>
    <row r="42" spans="1:26" x14ac:dyDescent="0.3">
      <c r="C42" s="3"/>
      <c r="E42" s="4"/>
      <c r="X42" s="64">
        <v>-0.44</v>
      </c>
      <c r="Z42" s="64">
        <v>-0.6</v>
      </c>
    </row>
    <row r="43" spans="1:26" x14ac:dyDescent="0.3">
      <c r="A43" s="6"/>
      <c r="B43" s="6" t="s">
        <v>45</v>
      </c>
      <c r="C43" s="3"/>
      <c r="E43" s="5"/>
      <c r="X43" s="64">
        <v>-0.45</v>
      </c>
      <c r="Z43" s="64">
        <v>-0.59</v>
      </c>
    </row>
    <row r="44" spans="1:26" x14ac:dyDescent="0.3">
      <c r="B44" s="1">
        <v>1</v>
      </c>
      <c r="C44" s="7" t="s">
        <v>57</v>
      </c>
      <c r="X44" s="64">
        <v>-0.46</v>
      </c>
      <c r="Z44" s="64">
        <v>-0.57999999999999996</v>
      </c>
    </row>
    <row r="45" spans="1:26" x14ac:dyDescent="0.3">
      <c r="B45" s="1">
        <v>2</v>
      </c>
      <c r="C45" s="7" t="s">
        <v>58</v>
      </c>
      <c r="X45" s="64">
        <v>-0.47</v>
      </c>
      <c r="Z45" s="64">
        <v>-0.56999999999999995</v>
      </c>
    </row>
    <row r="46" spans="1:26" x14ac:dyDescent="0.3">
      <c r="B46" s="1">
        <v>3</v>
      </c>
      <c r="C46" s="7" t="s">
        <v>53</v>
      </c>
      <c r="X46" s="64">
        <v>-0.48</v>
      </c>
      <c r="Z46" s="64">
        <v>-0.56000000000000005</v>
      </c>
    </row>
    <row r="47" spans="1:26" x14ac:dyDescent="0.3">
      <c r="B47" s="1">
        <v>4</v>
      </c>
      <c r="C47" s="7" t="s">
        <v>47</v>
      </c>
      <c r="X47" s="64">
        <v>-0.49</v>
      </c>
      <c r="Z47" s="64">
        <v>-0.55000000000000004</v>
      </c>
    </row>
    <row r="48" spans="1:26" x14ac:dyDescent="0.3">
      <c r="C48" s="3"/>
      <c r="X48" s="64">
        <v>-0.5</v>
      </c>
      <c r="Z48" s="64">
        <v>-0.54</v>
      </c>
    </row>
    <row r="49" spans="1:26" x14ac:dyDescent="0.3">
      <c r="C49" s="3"/>
      <c r="X49" s="64">
        <v>-0.51</v>
      </c>
      <c r="Z49" s="64">
        <v>-0.53</v>
      </c>
    </row>
    <row r="50" spans="1:26" hidden="1" x14ac:dyDescent="0.3">
      <c r="C50" s="3"/>
      <c r="X50" s="64">
        <v>-0.52</v>
      </c>
      <c r="Z50" s="64">
        <v>-0.52</v>
      </c>
    </row>
    <row r="51" spans="1:26" hidden="1" x14ac:dyDescent="0.3">
      <c r="C51" s="3"/>
      <c r="X51" s="64">
        <v>-0.53</v>
      </c>
      <c r="Z51" s="64">
        <v>-0.51</v>
      </c>
    </row>
    <row r="52" spans="1:26" hidden="1" x14ac:dyDescent="0.3">
      <c r="X52" s="64">
        <v>-0.54</v>
      </c>
      <c r="Z52" s="64">
        <v>-0.5</v>
      </c>
    </row>
    <row r="53" spans="1:26" hidden="1" x14ac:dyDescent="0.3">
      <c r="X53" s="64">
        <v>-0.55000000000000004</v>
      </c>
      <c r="Z53" s="64">
        <v>-0.49</v>
      </c>
    </row>
    <row r="54" spans="1:26" hidden="1" x14ac:dyDescent="0.3">
      <c r="X54" s="64">
        <v>-0.56000000000000005</v>
      </c>
      <c r="Z54" s="64">
        <v>-0.48</v>
      </c>
    </row>
    <row r="55" spans="1:26" hidden="1" x14ac:dyDescent="0.3">
      <c r="X55" s="64">
        <v>-0.56999999999999995</v>
      </c>
      <c r="Z55" s="64">
        <v>-0.47</v>
      </c>
    </row>
    <row r="56" spans="1:26" hidden="1" x14ac:dyDescent="0.3">
      <c r="A56" s="2"/>
      <c r="B56" s="2" t="s">
        <v>54</v>
      </c>
      <c r="X56" s="64">
        <v>-0.57999999999999996</v>
      </c>
      <c r="Z56" s="64">
        <v>-0.46</v>
      </c>
    </row>
    <row r="57" spans="1:26" hidden="1" x14ac:dyDescent="0.3">
      <c r="C57" s="3" t="s">
        <v>12</v>
      </c>
      <c r="D57" s="3" t="s">
        <v>13</v>
      </c>
      <c r="E57" s="3" t="s">
        <v>14</v>
      </c>
      <c r="F57" s="3" t="s">
        <v>15</v>
      </c>
      <c r="G57" s="3" t="s">
        <v>16</v>
      </c>
      <c r="H57" s="3" t="s">
        <v>17</v>
      </c>
      <c r="I57" s="3" t="s">
        <v>18</v>
      </c>
      <c r="J57" s="3" t="s">
        <v>19</v>
      </c>
      <c r="K57" s="3" t="s">
        <v>20</v>
      </c>
      <c r="L57" s="3" t="s">
        <v>21</v>
      </c>
      <c r="M57" s="3" t="s">
        <v>22</v>
      </c>
      <c r="N57" s="3" t="s">
        <v>23</v>
      </c>
      <c r="X57" s="64">
        <v>-0.59</v>
      </c>
      <c r="Z57" s="64">
        <v>-0.45</v>
      </c>
    </row>
    <row r="58" spans="1:26" hidden="1" x14ac:dyDescent="0.3">
      <c r="B58" s="1" t="s">
        <v>46</v>
      </c>
      <c r="C58" s="8">
        <f>[2]Seasonality!C5</f>
        <v>0.88241308090176651</v>
      </c>
      <c r="D58" s="8">
        <f>[2]Seasonality!D5</f>
        <v>0.96092326950910512</v>
      </c>
      <c r="E58" s="8">
        <f>[2]Seasonality!E5</f>
        <v>1.0650207914808394</v>
      </c>
      <c r="F58" s="8">
        <f>[2]Seasonality!F5</f>
        <v>0.99590969364881754</v>
      </c>
      <c r="G58" s="8">
        <f>[2]Seasonality!G5</f>
        <v>1.0702951290493752</v>
      </c>
      <c r="H58" s="8">
        <f>[2]Seasonality!H5</f>
        <v>1.058935660519021</v>
      </c>
      <c r="I58" s="8">
        <f>[2]Seasonality!I5</f>
        <v>1.0584358068440098</v>
      </c>
      <c r="J58" s="8">
        <f>[2]Seasonality!J5</f>
        <v>1.0920148672007337</v>
      </c>
      <c r="K58" s="8">
        <f>[2]Seasonality!K5</f>
        <v>0.82608316470874876</v>
      </c>
      <c r="L58" s="8">
        <f>[2]Seasonality!L5</f>
        <v>1.1548939512098355</v>
      </c>
      <c r="M58" s="8">
        <f>[2]Seasonality!M5</f>
        <v>0.82531389397043164</v>
      </c>
      <c r="N58" s="8">
        <f>[2]Seasonality!N5</f>
        <v>1.0097606909573162</v>
      </c>
      <c r="O58" s="8">
        <f>SUM(C58:N58)</f>
        <v>12</v>
      </c>
      <c r="X58" s="64">
        <v>-0.6</v>
      </c>
      <c r="Z58" s="64">
        <v>-0.44</v>
      </c>
    </row>
    <row r="59" spans="1:26" hidden="1" x14ac:dyDescent="0.3">
      <c r="C59">
        <f>'[3]Profit and Loss'!B11</f>
        <v>156197.53</v>
      </c>
      <c r="D59">
        <f>'[3]Profit and Loss'!C11</f>
        <v>170094.75999999998</v>
      </c>
      <c r="E59">
        <f>'[3]Profit and Loss'!D11</f>
        <v>188521.25</v>
      </c>
      <c r="F59">
        <f>'[3]Profit and Loss'!E11</f>
        <v>176287.77</v>
      </c>
      <c r="G59">
        <f>'[3]Profit and Loss'!F11</f>
        <v>189454.87</v>
      </c>
      <c r="H59">
        <f>'[3]Profit and Loss'!G11</f>
        <v>187444.11</v>
      </c>
      <c r="I59">
        <f>'[3]Profit and Loss'!H11</f>
        <v>187355.63</v>
      </c>
      <c r="J59">
        <f>'[3]Profit and Loss'!I11</f>
        <v>193299.52</v>
      </c>
      <c r="K59">
        <f>'[3]Profit and Loss'!J11</f>
        <v>146226.47</v>
      </c>
      <c r="L59">
        <f>'[3]Profit and Loss'!K11</f>
        <v>204429.86000000002</v>
      </c>
      <c r="M59">
        <f>'[3]Profit and Loss'!L11</f>
        <v>146090.29999999999</v>
      </c>
      <c r="N59">
        <f>'[3]Profit and Loss'!M11</f>
        <v>178739.56</v>
      </c>
      <c r="O59">
        <f>SUM(C59:N59)/12</f>
        <v>177011.80249999999</v>
      </c>
      <c r="X59" s="64">
        <v>-0.61</v>
      </c>
      <c r="Z59" s="64">
        <v>-0.43</v>
      </c>
    </row>
    <row r="60" spans="1:26" hidden="1" x14ac:dyDescent="0.3">
      <c r="C60" s="96">
        <f>C59/$O$59</f>
        <v>0.88241308090176651</v>
      </c>
      <c r="D60" s="96">
        <f t="shared" ref="D60:N60" si="21">D59/$O$59</f>
        <v>0.96092326950910512</v>
      </c>
      <c r="E60" s="96">
        <f t="shared" si="21"/>
        <v>1.0650207914808394</v>
      </c>
      <c r="F60" s="96">
        <f t="shared" si="21"/>
        <v>0.99590969364881754</v>
      </c>
      <c r="G60" s="96">
        <f t="shared" si="21"/>
        <v>1.0702951290493752</v>
      </c>
      <c r="H60" s="96">
        <f t="shared" si="21"/>
        <v>1.058935660519021</v>
      </c>
      <c r="I60" s="96">
        <f t="shared" si="21"/>
        <v>1.0584358068440098</v>
      </c>
      <c r="J60" s="96">
        <f t="shared" si="21"/>
        <v>1.0920148672007337</v>
      </c>
      <c r="K60" s="96">
        <f t="shared" si="21"/>
        <v>0.82608316470874876</v>
      </c>
      <c r="L60" s="96">
        <f t="shared" si="21"/>
        <v>1.1548939512098355</v>
      </c>
      <c r="M60" s="96">
        <f t="shared" si="21"/>
        <v>0.82531389397043164</v>
      </c>
      <c r="N60" s="96">
        <f t="shared" si="21"/>
        <v>1.0097606909573162</v>
      </c>
      <c r="O60" s="96">
        <f>SUM(C60:N60)</f>
        <v>12</v>
      </c>
      <c r="X60" s="64">
        <v>-0.62</v>
      </c>
      <c r="Z60" s="64">
        <v>-0.42</v>
      </c>
    </row>
    <row r="61" spans="1:26" hidden="1" x14ac:dyDescent="0.3">
      <c r="X61" s="64">
        <v>-0.63</v>
      </c>
      <c r="Z61" s="64">
        <v>-0.41</v>
      </c>
    </row>
    <row r="62" spans="1:26" hidden="1" x14ac:dyDescent="0.3">
      <c r="X62" s="64">
        <v>-0.64</v>
      </c>
      <c r="Z62" s="64">
        <v>-0.4</v>
      </c>
    </row>
    <row r="63" spans="1:26" hidden="1" x14ac:dyDescent="0.3">
      <c r="X63" s="64">
        <v>-0.65</v>
      </c>
      <c r="Z63" s="64">
        <v>-0.39</v>
      </c>
    </row>
    <row r="64" spans="1:26" hidden="1" x14ac:dyDescent="0.3">
      <c r="X64" s="64">
        <v>-0.66</v>
      </c>
      <c r="Z64" s="64">
        <v>-0.37999999999999901</v>
      </c>
    </row>
    <row r="65" spans="24:26" hidden="1" x14ac:dyDescent="0.3">
      <c r="X65" s="64">
        <v>-0.67</v>
      </c>
      <c r="Z65" s="64">
        <v>-0.369999999999999</v>
      </c>
    </row>
    <row r="66" spans="24:26" hidden="1" x14ac:dyDescent="0.3">
      <c r="X66" s="64">
        <v>-0.68</v>
      </c>
      <c r="Z66" s="64">
        <v>-0.35999999999999899</v>
      </c>
    </row>
    <row r="67" spans="24:26" hidden="1" x14ac:dyDescent="0.3">
      <c r="X67" s="64">
        <v>-0.69</v>
      </c>
      <c r="Z67" s="64">
        <v>-0.34999999999999898</v>
      </c>
    </row>
    <row r="68" spans="24:26" hidden="1" x14ac:dyDescent="0.3">
      <c r="X68" s="64">
        <v>-0.7</v>
      </c>
      <c r="Z68" s="64">
        <v>-0.33999999999999903</v>
      </c>
    </row>
    <row r="69" spans="24:26" hidden="1" x14ac:dyDescent="0.3">
      <c r="X69" s="64">
        <v>-0.71</v>
      </c>
      <c r="Z69" s="64">
        <v>-0.32999999999999902</v>
      </c>
    </row>
    <row r="70" spans="24:26" hidden="1" x14ac:dyDescent="0.3">
      <c r="X70" s="64">
        <v>-0.72</v>
      </c>
      <c r="Z70" s="64">
        <v>-0.31999999999999901</v>
      </c>
    </row>
    <row r="71" spans="24:26" hidden="1" x14ac:dyDescent="0.3">
      <c r="X71" s="64">
        <v>-0.73</v>
      </c>
      <c r="Z71" s="64">
        <v>-0.309999999999999</v>
      </c>
    </row>
    <row r="72" spans="24:26" hidden="1" x14ac:dyDescent="0.3">
      <c r="X72" s="64">
        <v>-0.74</v>
      </c>
      <c r="Z72" s="64">
        <v>-0.29999999999999899</v>
      </c>
    </row>
    <row r="73" spans="24:26" hidden="1" x14ac:dyDescent="0.3">
      <c r="X73" s="64">
        <v>-0.75</v>
      </c>
      <c r="Z73" s="64">
        <v>-0.28999999999999898</v>
      </c>
    </row>
    <row r="74" spans="24:26" hidden="1" x14ac:dyDescent="0.3">
      <c r="X74" s="64">
        <v>-0.76</v>
      </c>
      <c r="Z74" s="64">
        <v>-0.27999999999999903</v>
      </c>
    </row>
    <row r="75" spans="24:26" hidden="1" x14ac:dyDescent="0.3">
      <c r="X75" s="64">
        <v>-0.77</v>
      </c>
      <c r="Z75" s="64">
        <v>-0.26999999999999902</v>
      </c>
    </row>
    <row r="76" spans="24:26" hidden="1" x14ac:dyDescent="0.3">
      <c r="X76" s="64">
        <v>-0.78</v>
      </c>
      <c r="Z76" s="64">
        <v>-0.25999999999999901</v>
      </c>
    </row>
    <row r="77" spans="24:26" hidden="1" x14ac:dyDescent="0.3">
      <c r="X77" s="64">
        <v>-0.79</v>
      </c>
      <c r="Z77" s="64">
        <v>-0.249999999999999</v>
      </c>
    </row>
    <row r="78" spans="24:26" hidden="1" x14ac:dyDescent="0.3">
      <c r="X78" s="64">
        <v>-0.8</v>
      </c>
      <c r="Z78" s="64">
        <v>-0.23999999999999899</v>
      </c>
    </row>
    <row r="79" spans="24:26" hidden="1" x14ac:dyDescent="0.3">
      <c r="X79" s="64">
        <v>-0.81</v>
      </c>
      <c r="Z79" s="64">
        <v>-0.22999999999999901</v>
      </c>
    </row>
    <row r="80" spans="24:26" hidden="1" x14ac:dyDescent="0.3">
      <c r="X80" s="64">
        <v>-0.82</v>
      </c>
      <c r="Z80" s="64">
        <v>-0.219999999999999</v>
      </c>
    </row>
    <row r="81" spans="24:26" hidden="1" x14ac:dyDescent="0.3">
      <c r="X81" s="64">
        <v>-0.83</v>
      </c>
      <c r="Z81" s="64">
        <v>-0.20999999999999899</v>
      </c>
    </row>
    <row r="82" spans="24:26" hidden="1" x14ac:dyDescent="0.3">
      <c r="X82" s="64">
        <v>-0.84</v>
      </c>
      <c r="Z82" s="64">
        <v>-0.19999999999999901</v>
      </c>
    </row>
    <row r="83" spans="24:26" hidden="1" x14ac:dyDescent="0.3">
      <c r="X83" s="64">
        <v>-0.85</v>
      </c>
      <c r="Z83" s="64">
        <v>-0.189999999999999</v>
      </c>
    </row>
    <row r="84" spans="24:26" hidden="1" x14ac:dyDescent="0.3">
      <c r="X84" s="64">
        <v>-0.86</v>
      </c>
      <c r="Z84" s="64">
        <v>-0.17999999999999899</v>
      </c>
    </row>
    <row r="85" spans="24:26" hidden="1" x14ac:dyDescent="0.3">
      <c r="X85" s="64">
        <v>-0.87</v>
      </c>
      <c r="Z85" s="64">
        <v>-0.16999999999999901</v>
      </c>
    </row>
    <row r="86" spans="24:26" hidden="1" x14ac:dyDescent="0.3">
      <c r="X86" s="64">
        <v>-0.88</v>
      </c>
      <c r="Z86" s="64">
        <v>-0.159999999999999</v>
      </c>
    </row>
    <row r="87" spans="24:26" hidden="1" x14ac:dyDescent="0.3">
      <c r="X87" s="64">
        <v>-0.89</v>
      </c>
      <c r="Z87" s="64">
        <v>-0.149999999999999</v>
      </c>
    </row>
    <row r="88" spans="24:26" hidden="1" x14ac:dyDescent="0.3">
      <c r="X88" s="64">
        <v>-0.9</v>
      </c>
      <c r="Z88" s="64">
        <v>-0.13999999999999899</v>
      </c>
    </row>
    <row r="89" spans="24:26" hidden="1" x14ac:dyDescent="0.3">
      <c r="X89" s="64">
        <v>-0.91</v>
      </c>
      <c r="Z89" s="64">
        <v>-0.12999999999999901</v>
      </c>
    </row>
    <row r="90" spans="24:26" hidden="1" x14ac:dyDescent="0.3">
      <c r="X90" s="64">
        <v>-0.92</v>
      </c>
      <c r="Z90" s="64">
        <v>-0.119999999999999</v>
      </c>
    </row>
    <row r="91" spans="24:26" hidden="1" x14ac:dyDescent="0.3">
      <c r="X91" s="64">
        <v>-0.93</v>
      </c>
      <c r="Z91" s="64">
        <v>-0.109999999999999</v>
      </c>
    </row>
    <row r="92" spans="24:26" hidden="1" x14ac:dyDescent="0.3">
      <c r="X92" s="64">
        <v>-0.94</v>
      </c>
      <c r="Z92" s="64">
        <v>-9.9999999999999006E-2</v>
      </c>
    </row>
    <row r="93" spans="24:26" hidden="1" x14ac:dyDescent="0.3">
      <c r="X93" s="64">
        <v>-0.95</v>
      </c>
      <c r="Z93" s="64">
        <v>-8.9999999999998997E-2</v>
      </c>
    </row>
    <row r="94" spans="24:26" hidden="1" x14ac:dyDescent="0.3">
      <c r="X94" s="64">
        <v>-0.96</v>
      </c>
      <c r="Z94" s="64">
        <v>-7.9999999999999002E-2</v>
      </c>
    </row>
    <row r="95" spans="24:26" hidden="1" x14ac:dyDescent="0.3">
      <c r="X95" s="64">
        <v>-0.97</v>
      </c>
      <c r="Z95" s="64">
        <v>-6.9999999999998994E-2</v>
      </c>
    </row>
    <row r="96" spans="24:26" hidden="1" x14ac:dyDescent="0.3">
      <c r="X96" s="64">
        <v>-0.98</v>
      </c>
      <c r="Z96" s="64">
        <v>-5.9999999999998901E-2</v>
      </c>
    </row>
    <row r="97" spans="24:26" hidden="1" x14ac:dyDescent="0.3">
      <c r="X97" s="64">
        <v>-0.99</v>
      </c>
      <c r="Z97" s="64">
        <v>-4.9999999999998899E-2</v>
      </c>
    </row>
    <row r="98" spans="24:26" hidden="1" x14ac:dyDescent="0.3">
      <c r="X98" s="64">
        <v>-1</v>
      </c>
      <c r="Z98" s="64">
        <v>-3.9999999999998898E-2</v>
      </c>
    </row>
    <row r="99" spans="24:26" hidden="1" x14ac:dyDescent="0.3">
      <c r="Z99" s="64">
        <v>-2.9999999999998899E-2</v>
      </c>
    </row>
    <row r="100" spans="24:26" hidden="1" x14ac:dyDescent="0.3">
      <c r="Z100" s="64">
        <v>-1.9999999999998901E-2</v>
      </c>
    </row>
    <row r="101" spans="24:26" hidden="1" x14ac:dyDescent="0.3">
      <c r="Z101" s="64">
        <v>-9.9999999999990097E-3</v>
      </c>
    </row>
    <row r="102" spans="24:26" hidden="1" x14ac:dyDescent="0.3">
      <c r="Z102" s="64">
        <v>9.9920072216264108E-16</v>
      </c>
    </row>
  </sheetData>
  <sheetProtection algorithmName="SHA-512" hashValue="JhlyjebzG7v5sNAlTLMbxyV6b3S6i8NK21tRqusJP/2uaxOS24Y0pOzUuKfBqVO489yTIqU5u4UOhQLp4OAzWQ==" saltValue="/Vo01ReOHZCoHr5C4X9Tcw==" spinCount="100000" sheet="1" selectLockedCells="1"/>
  <mergeCells count="1">
    <mergeCell ref="H3:Q3"/>
  </mergeCells>
  <phoneticPr fontId="15" type="noConversion"/>
  <dataValidations disablePrompts="1" count="2">
    <dataValidation type="list" allowBlank="1" showInputMessage="1" showErrorMessage="1" promptTitle="COVID-19 Impact" prompt="Please select a percentage" sqref="F5:G5">
      <formula1>$X$3:$X$98</formula1>
    </dataValidation>
    <dataValidation type="list" allowBlank="1" showInputMessage="1" showErrorMessage="1" prompt="Select a percentage" sqref="E5">
      <formula1>$Z$2:$Z$102</formula1>
    </dataValidation>
  </dataValidations>
  <printOptions horizontalCentered="1" verticalCentered="1"/>
  <pageMargins left="0.7" right="0.7" top="0.75" bottom="0.75" header="0.3" footer="0.3"/>
  <pageSetup scale="6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Sunder</dc:creator>
  <cp:lastModifiedBy>WebMD</cp:lastModifiedBy>
  <cp:lastPrinted>2020-04-25T00:21:43Z</cp:lastPrinted>
  <dcterms:created xsi:type="dcterms:W3CDTF">2019-03-14T18:46:32Z</dcterms:created>
  <dcterms:modified xsi:type="dcterms:W3CDTF">2020-07-02T20:26:48Z</dcterms:modified>
</cp:coreProperties>
</file>